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Current\"/>
    </mc:Choice>
  </mc:AlternateContent>
  <xr:revisionPtr revIDLastSave="0" documentId="8_{1EEC716F-6153-4F63-93CA-F9B67403DD8B}" xr6:coauthVersionLast="47" xr6:coauthVersionMax="47" xr10:uidLastSave="{00000000-0000-0000-0000-000000000000}"/>
  <bookViews>
    <workbookView xWindow="28680" yWindow="-120" windowWidth="38640" windowHeight="21120" tabRatio="624" xr2:uid="{00000000-000D-0000-FFFF-FFFF00000000}"/>
  </bookViews>
  <sheets>
    <sheet name="Generic 5yr Budget" sheetId="47" r:id="rId1"/>
    <sheet name="Look up tables" sheetId="31" r:id="rId2"/>
  </sheets>
  <definedNames>
    <definedName name="_xlnm._FilterDatabase" localSheetId="0" hidden="1">'Generic 5yr Budget'!$J$14:$L$17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3" i="47" l="1"/>
  <c r="K271" i="47"/>
  <c r="K272" i="47"/>
  <c r="K270" i="47"/>
  <c r="J271" i="47"/>
  <c r="J272" i="47"/>
  <c r="J273" i="47"/>
  <c r="J270" i="47"/>
  <c r="J222" i="47"/>
  <c r="J221" i="47"/>
  <c r="J220" i="47"/>
  <c r="J219" i="47"/>
  <c r="J174" i="47"/>
  <c r="J173" i="47"/>
  <c r="J172" i="47"/>
  <c r="J171" i="47"/>
  <c r="J131" i="47"/>
  <c r="J130" i="47"/>
  <c r="J129" i="47"/>
  <c r="J128" i="47"/>
  <c r="J84" i="47"/>
  <c r="J83" i="47"/>
  <c r="J82" i="47"/>
  <c r="J81" i="47"/>
  <c r="G231" i="47" l="1"/>
  <c r="F231" i="47"/>
  <c r="G184" i="47"/>
  <c r="F184" i="47"/>
  <c r="G137" i="47"/>
  <c r="F137" i="47"/>
  <c r="G90" i="47"/>
  <c r="F90" i="47"/>
  <c r="J43" i="47" l="1"/>
  <c r="G43" i="47" s="1"/>
  <c r="C43" i="47" l="1"/>
  <c r="F43" i="47" s="1"/>
  <c r="E52" i="47" l="1"/>
  <c r="G279" i="47"/>
  <c r="G275" i="47"/>
  <c r="G274" i="47"/>
  <c r="F274" i="47"/>
  <c r="G273" i="47"/>
  <c r="F273" i="47"/>
  <c r="G269" i="47"/>
  <c r="G262" i="47"/>
  <c r="D250" i="47"/>
  <c r="D249" i="47"/>
  <c r="D248" i="47"/>
  <c r="D247" i="47"/>
  <c r="D246" i="47"/>
  <c r="E241" i="47"/>
  <c r="E240" i="47"/>
  <c r="F222" i="47"/>
  <c r="G214" i="47"/>
  <c r="F214" i="47"/>
  <c r="D203" i="47"/>
  <c r="D202" i="47"/>
  <c r="D201" i="47"/>
  <c r="D200" i="47"/>
  <c r="D199" i="47"/>
  <c r="E194" i="47"/>
  <c r="E193" i="47"/>
  <c r="F175" i="47"/>
  <c r="G167" i="47"/>
  <c r="F167" i="47"/>
  <c r="D156" i="47"/>
  <c r="D155" i="47"/>
  <c r="D154" i="47"/>
  <c r="D153" i="47"/>
  <c r="D152" i="47"/>
  <c r="E147" i="47"/>
  <c r="E146" i="47"/>
  <c r="F128" i="47"/>
  <c r="G120" i="47"/>
  <c r="F120" i="47"/>
  <c r="D109" i="47"/>
  <c r="D108" i="47"/>
  <c r="D107" i="47"/>
  <c r="D106" i="47"/>
  <c r="D105" i="47"/>
  <c r="E100" i="47"/>
  <c r="E99" i="47"/>
  <c r="G84" i="47"/>
  <c r="F84" i="47"/>
  <c r="G83" i="47"/>
  <c r="G130" i="47" s="1"/>
  <c r="G177" i="47" s="1"/>
  <c r="G224" i="47" s="1"/>
  <c r="F83" i="47"/>
  <c r="F130" i="47" s="1"/>
  <c r="G82" i="47"/>
  <c r="G129" i="47" s="1"/>
  <c r="G176" i="47" s="1"/>
  <c r="G223" i="47" s="1"/>
  <c r="F82" i="47"/>
  <c r="F129" i="47" s="1"/>
  <c r="F176" i="47" s="1"/>
  <c r="F223" i="47" s="1"/>
  <c r="F81" i="47"/>
  <c r="G79" i="47"/>
  <c r="G126" i="47" s="1"/>
  <c r="G173" i="47" s="1"/>
  <c r="G220" i="47" s="1"/>
  <c r="F79" i="47"/>
  <c r="F126" i="47" s="1"/>
  <c r="F173" i="47" s="1"/>
  <c r="G78" i="47"/>
  <c r="G125" i="47" s="1"/>
  <c r="G172" i="47" s="1"/>
  <c r="F78" i="47"/>
  <c r="F125" i="47" s="1"/>
  <c r="F172" i="47" s="1"/>
  <c r="F219" i="47" s="1"/>
  <c r="G77" i="47"/>
  <c r="G124" i="47" s="1"/>
  <c r="G171" i="47" s="1"/>
  <c r="G218" i="47" s="1"/>
  <c r="F77" i="47"/>
  <c r="F124" i="47" s="1"/>
  <c r="F171" i="47" s="1"/>
  <c r="F218" i="47" s="1"/>
  <c r="K72" i="47"/>
  <c r="L72" i="47" s="1"/>
  <c r="K71" i="47"/>
  <c r="K120" i="47" s="1"/>
  <c r="K163" i="47" s="1"/>
  <c r="L163" i="47" s="1"/>
  <c r="K70" i="47"/>
  <c r="L70" i="47" s="1"/>
  <c r="G69" i="47"/>
  <c r="G257" i="47" s="1"/>
  <c r="F69" i="47"/>
  <c r="F257" i="47" s="1"/>
  <c r="G68" i="47"/>
  <c r="G115" i="47" s="1"/>
  <c r="G162" i="47" s="1"/>
  <c r="G209" i="47" s="1"/>
  <c r="F68" i="47"/>
  <c r="F115" i="47" s="1"/>
  <c r="F162" i="47" s="1"/>
  <c r="G67" i="47"/>
  <c r="F67" i="47"/>
  <c r="G66" i="47"/>
  <c r="F66" i="47"/>
  <c r="G65" i="47"/>
  <c r="G112" i="47" s="1"/>
  <c r="G159" i="47" s="1"/>
  <c r="G206" i="47" s="1"/>
  <c r="F65" i="47"/>
  <c r="F112" i="47" s="1"/>
  <c r="F159" i="47" s="1"/>
  <c r="F206" i="47" s="1"/>
  <c r="F253" i="47" s="1"/>
  <c r="G63" i="47"/>
  <c r="G110" i="47" s="1"/>
  <c r="F63" i="47"/>
  <c r="F110" i="47" s="1"/>
  <c r="F157" i="47" s="1"/>
  <c r="F204" i="47" s="1"/>
  <c r="G62" i="47"/>
  <c r="F62" i="47"/>
  <c r="D62" i="47"/>
  <c r="G61" i="47"/>
  <c r="G108" i="47" s="1"/>
  <c r="G155" i="47" s="1"/>
  <c r="G202" i="47" s="1"/>
  <c r="F61" i="47"/>
  <c r="F108" i="47" s="1"/>
  <c r="F155" i="47" s="1"/>
  <c r="F202" i="47" s="1"/>
  <c r="D61" i="47"/>
  <c r="G60" i="47"/>
  <c r="G107" i="47" s="1"/>
  <c r="G154" i="47" s="1"/>
  <c r="G201" i="47" s="1"/>
  <c r="F60" i="47"/>
  <c r="F107" i="47" s="1"/>
  <c r="F154" i="47" s="1"/>
  <c r="F201" i="47" s="1"/>
  <c r="D60" i="47"/>
  <c r="G59" i="47"/>
  <c r="F59" i="47"/>
  <c r="D59" i="47"/>
  <c r="G58" i="47"/>
  <c r="F58" i="47"/>
  <c r="D58" i="47"/>
  <c r="E53" i="47"/>
  <c r="F40" i="47"/>
  <c r="L39" i="47"/>
  <c r="L38" i="47"/>
  <c r="L83" i="47" s="1"/>
  <c r="L37" i="47"/>
  <c r="L36" i="47"/>
  <c r="F34" i="47"/>
  <c r="L27" i="47"/>
  <c r="L26" i="47"/>
  <c r="G26" i="47"/>
  <c r="F26" i="47"/>
  <c r="L25" i="47"/>
  <c r="G25" i="47"/>
  <c r="F25" i="47"/>
  <c r="G23" i="47"/>
  <c r="F23" i="47"/>
  <c r="G105" i="47" l="1"/>
  <c r="G114" i="47"/>
  <c r="G161" i="47" s="1"/>
  <c r="G208" i="47" s="1"/>
  <c r="G255" i="47"/>
  <c r="G28" i="47"/>
  <c r="G29" i="47" s="1"/>
  <c r="F73" i="47"/>
  <c r="F261" i="47" s="1"/>
  <c r="F269" i="47"/>
  <c r="L82" i="47"/>
  <c r="L129" i="47" s="1"/>
  <c r="L71" i="47"/>
  <c r="L73" i="47" s="1"/>
  <c r="F74" i="47" s="1"/>
  <c r="G271" i="47"/>
  <c r="F251" i="47"/>
  <c r="F265" i="47"/>
  <c r="G265" i="47"/>
  <c r="F270" i="47"/>
  <c r="F70" i="47"/>
  <c r="G219" i="47"/>
  <c r="G266" i="47" s="1"/>
  <c r="F220" i="47"/>
  <c r="F267" i="47" s="1"/>
  <c r="F209" i="47"/>
  <c r="F256" i="47" s="1"/>
  <c r="C137" i="47"/>
  <c r="C231" i="47"/>
  <c r="G253" i="47"/>
  <c r="G73" i="47"/>
  <c r="G261" i="47" s="1"/>
  <c r="C90" i="47"/>
  <c r="F177" i="47"/>
  <c r="F224" i="47" s="1"/>
  <c r="F248" i="47"/>
  <c r="F106" i="47"/>
  <c r="F153" i="47" s="1"/>
  <c r="F200" i="47" s="1"/>
  <c r="K212" i="47"/>
  <c r="L212" i="47" s="1"/>
  <c r="G113" i="47"/>
  <c r="G160" i="47" s="1"/>
  <c r="G207" i="47" s="1"/>
  <c r="L120" i="47"/>
  <c r="G267" i="47"/>
  <c r="K121" i="47"/>
  <c r="C278" i="47"/>
  <c r="G72" i="47"/>
  <c r="F131" i="47"/>
  <c r="F178" i="47" s="1"/>
  <c r="F225" i="47" s="1"/>
  <c r="F249" i="47"/>
  <c r="G70" i="47"/>
  <c r="F109" i="47"/>
  <c r="F156" i="47" s="1"/>
  <c r="F203" i="47" s="1"/>
  <c r="G256" i="47"/>
  <c r="G131" i="47"/>
  <c r="G178" i="47" s="1"/>
  <c r="G225" i="47" s="1"/>
  <c r="F72" i="47"/>
  <c r="G249" i="47"/>
  <c r="F266" i="47"/>
  <c r="F114" i="47"/>
  <c r="F87" i="47"/>
  <c r="F113" i="47"/>
  <c r="F160" i="47" s="1"/>
  <c r="F207" i="47" s="1"/>
  <c r="G248" i="47"/>
  <c r="G157" i="47"/>
  <c r="G204" i="47" s="1"/>
  <c r="L81" i="47"/>
  <c r="L130" i="47"/>
  <c r="C184" i="47"/>
  <c r="L28" i="47"/>
  <c r="F27" i="47" s="1"/>
  <c r="L84" i="47"/>
  <c r="L131" i="47" s="1"/>
  <c r="F105" i="47"/>
  <c r="G270" i="47"/>
  <c r="K119" i="47"/>
  <c r="G106" i="47"/>
  <c r="G153" i="47" s="1"/>
  <c r="G200" i="47" s="1"/>
  <c r="G109" i="47"/>
  <c r="G156" i="47" s="1"/>
  <c r="G203" i="47" s="1"/>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G152" i="47" l="1"/>
  <c r="F250" i="47"/>
  <c r="L174" i="47"/>
  <c r="L222" i="47" s="1"/>
  <c r="L172" i="47"/>
  <c r="L220" i="47" s="1"/>
  <c r="F272" i="47"/>
  <c r="L128" i="47"/>
  <c r="L171" i="47" s="1"/>
  <c r="L219" i="47" s="1"/>
  <c r="G164" i="47"/>
  <c r="G250" i="47"/>
  <c r="G247" i="47"/>
  <c r="F152" i="47"/>
  <c r="F117" i="47"/>
  <c r="F119" i="47"/>
  <c r="G117" i="47"/>
  <c r="G119" i="47"/>
  <c r="G122" i="47" s="1"/>
  <c r="F75" i="47"/>
  <c r="G75" i="47"/>
  <c r="G76" i="47" s="1"/>
  <c r="F271" i="47"/>
  <c r="F161" i="47"/>
  <c r="F134" i="47"/>
  <c r="F254" i="47"/>
  <c r="L121" i="47"/>
  <c r="K164" i="47"/>
  <c r="L173" i="47"/>
  <c r="L221" i="47" s="1"/>
  <c r="G272" i="47"/>
  <c r="G166" i="47"/>
  <c r="G169" i="47" s="1"/>
  <c r="F247" i="47"/>
  <c r="L119" i="47"/>
  <c r="K162" i="47"/>
  <c r="G254" i="47"/>
  <c r="F28" i="47"/>
  <c r="G41" i="47"/>
  <c r="G251" i="47"/>
  <c r="G199" i="47" l="1"/>
  <c r="F76" i="47"/>
  <c r="F88" i="47" s="1"/>
  <c r="G170" i="47"/>
  <c r="G182" i="47" s="1"/>
  <c r="L122" i="47"/>
  <c r="F121" i="47" s="1"/>
  <c r="G88" i="47"/>
  <c r="G123" i="47"/>
  <c r="G135" i="47" s="1"/>
  <c r="K213" i="47"/>
  <c r="L213" i="47" s="1"/>
  <c r="L164" i="47"/>
  <c r="L162" i="47"/>
  <c r="K211" i="47"/>
  <c r="L211" i="47" s="1"/>
  <c r="F29" i="47"/>
  <c r="F181" i="47"/>
  <c r="F208" i="47"/>
  <c r="F164" i="47"/>
  <c r="F166" i="47"/>
  <c r="F169" i="47" s="1"/>
  <c r="F199" i="47"/>
  <c r="F122" i="47" l="1"/>
  <c r="G186" i="47"/>
  <c r="G246" i="47"/>
  <c r="G213" i="47"/>
  <c r="G211" i="47"/>
  <c r="E90" i="47"/>
  <c r="F92" i="47" s="1"/>
  <c r="L165" i="47"/>
  <c r="F168" i="47" s="1"/>
  <c r="G92" i="47"/>
  <c r="F228" i="47"/>
  <c r="F275" i="47" s="1"/>
  <c r="F255" i="47"/>
  <c r="F123" i="47"/>
  <c r="F135" i="47" s="1"/>
  <c r="G139" i="47"/>
  <c r="G45" i="47"/>
  <c r="F41" i="47"/>
  <c r="F211" i="47"/>
  <c r="F213" i="47"/>
  <c r="F260" i="47" s="1"/>
  <c r="F246" i="47"/>
  <c r="F170" i="47"/>
  <c r="F182" i="47" s="1"/>
  <c r="L214" i="47"/>
  <c r="F215" i="47" s="1"/>
  <c r="G258" i="47" l="1"/>
  <c r="G216" i="47"/>
  <c r="G263" i="47" s="1"/>
  <c r="G260" i="47"/>
  <c r="F262" i="47"/>
  <c r="E184" i="47"/>
  <c r="F186" i="47" s="1"/>
  <c r="G278" i="47"/>
  <c r="E137" i="47"/>
  <c r="F139" i="47" s="1"/>
  <c r="F216" i="47"/>
  <c r="F263" i="47" s="1"/>
  <c r="F258" i="47"/>
  <c r="E43" i="47"/>
  <c r="F45" i="47" s="1"/>
  <c r="G217" i="47" l="1"/>
  <c r="F217" i="47"/>
  <c r="F229" i="47" s="1"/>
  <c r="E231" i="47" s="1"/>
  <c r="F233" i="47" s="1"/>
  <c r="F280" i="47" s="1"/>
  <c r="F264" i="47" l="1"/>
  <c r="G229" i="47"/>
  <c r="G264" i="47"/>
  <c r="F276" i="47"/>
  <c r="F278" i="47"/>
  <c r="G233" i="47" l="1"/>
  <c r="G280" i="47" s="1"/>
  <c r="G27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J17" authorId="0" shapeId="0" xr:uid="{432B555B-C0CD-42DA-BE64-76CF85DDE5B4}">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3F0F07E0-2C8C-4D6F-96D1-F2CC7D3C82CC}">
      <text>
        <r>
          <rPr>
            <sz val="9"/>
            <color indexed="81"/>
            <rFont val="Tahoma"/>
            <family val="2"/>
          </rPr>
          <t xml:space="preserve">Cost Sharing graduate students requires approval from ORED.
</t>
        </r>
      </text>
    </comment>
    <comment ref="F22" authorId="1" shapeId="0" xr:uid="{5E5467E4-75A5-40D6-B521-291656660A56}">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005C8876-08FF-4230-A418-39CFC220690E}">
      <text>
        <r>
          <rPr>
            <sz val="9"/>
            <color indexed="81"/>
            <rFont val="Tahoma"/>
            <family val="2"/>
          </rPr>
          <t>Cost Sharing graduate students requires approval from ORED.</t>
        </r>
      </text>
    </comment>
    <comment ref="F34" authorId="3" shapeId="0" xr:uid="{93B2CB8A-6A7C-4217-A64B-3DF496FBAEFB}">
      <text>
        <r>
          <rPr>
            <sz val="8"/>
            <color indexed="81"/>
            <rFont val="Tahoma"/>
            <family val="2"/>
          </rPr>
          <t>Insert all Subcontract funds in Column M.</t>
        </r>
      </text>
    </comment>
    <comment ref="F39" authorId="0" shapeId="0" xr:uid="{784E9EF9-0322-4F6D-9B91-98CCA329E7AB}">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9EA60AB0-5189-4E30-8DBB-659EE2CCF13A}">
      <text>
        <r>
          <rPr>
            <sz val="9"/>
            <color indexed="81"/>
            <rFont val="Tahoma"/>
            <family val="2"/>
          </rPr>
          <t xml:space="preserve">Do not budget tuition remission when it is prohibited by the sponsor's published guidelines.
</t>
        </r>
      </text>
    </comment>
    <comment ref="G40" authorId="1" shapeId="0" xr:uid="{E5392A68-F8CC-48B0-911A-3F9423E01659}">
      <text>
        <r>
          <rPr>
            <sz val="9"/>
            <color indexed="81"/>
            <rFont val="Tahoma"/>
            <family val="2"/>
          </rPr>
          <t xml:space="preserve">Cost Sharing graduate students requires approval from ORED.
</t>
        </r>
      </text>
    </comment>
    <comment ref="G67" authorId="1" shapeId="0" xr:uid="{B1DBCD17-487A-403B-8ABC-DE89EE9810F6}">
      <text>
        <r>
          <rPr>
            <sz val="9"/>
            <color indexed="81"/>
            <rFont val="Tahoma"/>
            <family val="2"/>
          </rPr>
          <t>Cost Sharing graduate students requires approval from ORED.</t>
        </r>
        <r>
          <rPr>
            <sz val="9"/>
            <color indexed="81"/>
            <rFont val="Tahoma"/>
            <family val="2"/>
          </rPr>
          <t xml:space="preserve">
</t>
        </r>
      </text>
    </comment>
    <comment ref="F81" authorId="3" shapeId="0" xr:uid="{72518DCA-D66F-4FA0-9325-6A3E088AC5C3}">
      <text>
        <r>
          <rPr>
            <b/>
            <sz val="8"/>
            <color indexed="81"/>
            <rFont val="Tahoma"/>
            <family val="2"/>
          </rPr>
          <t>Insert all Subcontract funds in Column M.</t>
        </r>
      </text>
    </comment>
    <comment ref="F86" authorId="0" shapeId="0" xr:uid="{75A786E2-3DEE-48E0-9FE9-9320C150D5D5}">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733CBA00-1F0F-43F2-8D97-51C40E069FFC}">
      <text>
        <r>
          <rPr>
            <sz val="9"/>
            <color indexed="81"/>
            <rFont val="Tahoma"/>
            <family val="2"/>
          </rPr>
          <t xml:space="preserve">Do not budget tuition remission when it is prohibited by the sponsor's published guidelines.
</t>
        </r>
      </text>
    </comment>
    <comment ref="G87" authorId="1" shapeId="0" xr:uid="{C91905E8-59A1-42A5-9219-2A8B8049EF23}">
      <text>
        <r>
          <rPr>
            <sz val="9"/>
            <color indexed="81"/>
            <rFont val="Tahoma"/>
            <family val="2"/>
          </rPr>
          <t xml:space="preserve">Cost Sharing graduate students requires approval from ORED.
</t>
        </r>
      </text>
    </comment>
    <comment ref="G114" authorId="1" shapeId="0" xr:uid="{B7C7CC73-D80B-45BD-B0A6-1BBF7FD5687E}">
      <text>
        <r>
          <rPr>
            <sz val="9"/>
            <color indexed="81"/>
            <rFont val="Tahoma"/>
            <family val="2"/>
          </rPr>
          <t xml:space="preserve">Cost Sharing graduate students requires approval from ORED.
</t>
        </r>
      </text>
    </comment>
    <comment ref="F128" authorId="3" shapeId="0" xr:uid="{20736189-2B93-429A-9F9A-CCDC67C6EE48}">
      <text>
        <r>
          <rPr>
            <b/>
            <sz val="8"/>
            <color indexed="81"/>
            <rFont val="Tahoma"/>
            <family val="2"/>
          </rPr>
          <t>Insert all Subcontract funds in Column M.</t>
        </r>
      </text>
    </comment>
    <comment ref="F133" authorId="0" shapeId="0" xr:uid="{2F7569D4-EE3A-43F7-8638-8C91C936DA57}">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B09C997F-F3CE-4DA7-9C89-7566EBAE06C1}">
      <text>
        <r>
          <rPr>
            <sz val="9"/>
            <color indexed="81"/>
            <rFont val="Tahoma"/>
            <family val="2"/>
          </rPr>
          <t xml:space="preserve">Do not budget tuition remission when it is prohibited by the sponsor's published guidelines.
</t>
        </r>
      </text>
    </comment>
    <comment ref="G134" authorId="1" shapeId="0" xr:uid="{0699654E-CACB-454D-98F9-E423EF93E5D4}">
      <text>
        <r>
          <rPr>
            <sz val="9"/>
            <color indexed="81"/>
            <rFont val="Tahoma"/>
            <family val="2"/>
          </rPr>
          <t xml:space="preserve">Cost Sharing graduate students requires approval from ORED.
</t>
        </r>
      </text>
    </comment>
    <comment ref="G161" authorId="1" shapeId="0" xr:uid="{9F87873D-C161-4244-89B7-CA31C1561BD8}">
      <text>
        <r>
          <rPr>
            <sz val="9"/>
            <color indexed="81"/>
            <rFont val="Tahoma"/>
            <family val="2"/>
          </rPr>
          <t xml:space="preserve">Cost Sharing graduate students requires approval from ORED.
</t>
        </r>
      </text>
    </comment>
    <comment ref="F175" authorId="3" shapeId="0" xr:uid="{F0ADD542-219C-4748-8C03-EC1338ABC5D2}">
      <text>
        <r>
          <rPr>
            <b/>
            <sz val="8"/>
            <color indexed="81"/>
            <rFont val="Tahoma"/>
            <family val="2"/>
          </rPr>
          <t>Insert all Subcontract funds in Column M.</t>
        </r>
      </text>
    </comment>
    <comment ref="F180" authorId="0" shapeId="0" xr:uid="{FD301F0A-B312-49B8-B2FE-CAB89A5D847D}">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4DE6F7B2-D69C-44B1-8351-99DA4CC7FCFA}">
      <text>
        <r>
          <rPr>
            <sz val="9"/>
            <color indexed="81"/>
            <rFont val="Tahoma"/>
            <family val="2"/>
          </rPr>
          <t xml:space="preserve">Do not budget tuition remission when it is prohibited by the sponsor's published guidelines.
</t>
        </r>
      </text>
    </comment>
    <comment ref="G181" authorId="1" shapeId="0" xr:uid="{6023DD0B-C313-4978-8AA3-1F4375E9630F}">
      <text>
        <r>
          <rPr>
            <sz val="9"/>
            <color indexed="81"/>
            <rFont val="Tahoma"/>
            <family val="2"/>
          </rPr>
          <t xml:space="preserve">Cost Sharing graduate students requires approval from ORED.
</t>
        </r>
      </text>
    </comment>
    <comment ref="G208" authorId="1" shapeId="0" xr:uid="{135E9CE6-0406-4EB8-8425-FDAC5A6DD40C}">
      <text>
        <r>
          <rPr>
            <sz val="9"/>
            <color indexed="81"/>
            <rFont val="Tahoma"/>
            <family val="2"/>
          </rPr>
          <t xml:space="preserve">Cost Sharing graduate students requires approval from ORED.
</t>
        </r>
      </text>
    </comment>
    <comment ref="F222" authorId="3" shapeId="0" xr:uid="{CB27BD1A-24FE-4804-8922-DB35A65A949D}">
      <text>
        <r>
          <rPr>
            <b/>
            <sz val="8"/>
            <color indexed="81"/>
            <rFont val="Tahoma"/>
            <family val="2"/>
          </rPr>
          <t>Insert all Subcontract funds in Column M.</t>
        </r>
      </text>
    </comment>
    <comment ref="F227" authorId="0" shapeId="0" xr:uid="{019C242D-21EC-4C41-9FBD-518188403879}">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5389FCDC-D07E-404A-9605-805129F4353A}">
      <text>
        <r>
          <rPr>
            <sz val="9"/>
            <color indexed="81"/>
            <rFont val="Tahoma"/>
            <family val="2"/>
          </rPr>
          <t xml:space="preserve">Do not budget tuition remission when it is prohibited by the sponsor's published guidelines.
</t>
        </r>
      </text>
    </comment>
    <comment ref="G228" authorId="1" shapeId="0" xr:uid="{ED368CDF-9D8B-4B95-B22E-366D0A91E82B}">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<sst xmlns="http://schemas.openxmlformats.org/spreadsheetml/2006/main" count="495" uniqueCount="116">
  <si>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</si>
  <si>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</si>
  <si>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</si>
  <si>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</si>
  <si>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</si>
  <si>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</si>
  <si>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</si>
  <si>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</si>
  <si>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</si>
  <si>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</si>
  <si>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</si>
  <si>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</si>
  <si>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</si>
  <si>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</si>
  <si>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</si>
  <si>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</si>
  <si>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</si>
  <si>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</si>
  <si>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</si>
  <si>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</si>
  <si>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</si>
  <si>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</si>
  <si>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</si>
  <si>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</si>
  <si>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</si>
  <si>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</si>
  <si>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</si>
  <si>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</si>
  <si>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</si>
  <si>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</si>
  <si>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</si>
  <si>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</si>
  <si>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</si>
  <si>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</si>
  <si>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</si>
  <si>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</si>
  <si>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</si>
  <si>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</si>
  <si>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</si>
  <si>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</si>
  <si>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</si>
  <si>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</si>
  <si>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</si>
  <si>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</si>
  <si>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</si>
  <si>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</si>
  <si>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</si>
  <si>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</si>
  <si>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</si>
  <si>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</si>
  <si>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</si>
  <si>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</si>
  <si>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</si>
  <si>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</si>
  <si>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</si>
  <si>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</si>
  <si>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</si>
  <si>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</si>
  <si>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</si>
  <si>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</si>
  <si>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</si>
  <si>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</si>
  <si>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</si>
  <si>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</si>
  <si>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</si>
  <si>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</si>
  <si>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</si>
  <si>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</si>
  <si>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</si>
  <si>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</si>
  <si>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</si>
  <si>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Other (enter rate below)</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</si>
  <si>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</si>
  <si>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</si>
  <si>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</si>
  <si>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</si>
  <si>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</si>
  <si>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</si>
  <si>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</si>
  <si>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</si>
  <si>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</si>
  <si>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</si>
  <si>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</si>
  <si>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</si>
  <si>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</si>
  <si>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</si>
  <si>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</si>
  <si>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</si>
  <si>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LSU Cost Share</t>
  </si>
  <si>
    <t>Unrecovered F&amp;A</t>
  </si>
  <si>
    <t>Yes</t>
  </si>
  <si>
    <t>No</t>
  </si>
  <si>
    <t xml:space="preserve">Cost Sharing F&amp;A
</t>
  </si>
  <si>
    <t>Participant Support Costs</t>
  </si>
  <si>
    <t>Q.</t>
  </si>
  <si>
    <t xml:space="preserve">**Base = MTDC = Total Direct Costs - Equipment - Each Subcontract in excess of $25,000 (only the first $25,000 of each </t>
  </si>
  <si>
    <t>subcontract is included) - Tuition Remission - Participant Support Costs</t>
  </si>
  <si>
    <t>Enter Projected Start Date (Month/Year)</t>
  </si>
  <si>
    <t>No. Project Years</t>
  </si>
  <si>
    <t>Type of Graduate Assistant</t>
  </si>
  <si>
    <t>Calendar</t>
  </si>
  <si>
    <t xml:space="preserve">Academic </t>
  </si>
  <si>
    <t>Graduate Assitants</t>
  </si>
  <si>
    <t>Summer</t>
  </si>
  <si>
    <t xml:space="preserve">Tuition Remission                          @ </t>
  </si>
  <si>
    <t>Graduate Assistant</t>
  </si>
  <si>
    <t>Graduat Assistants</t>
  </si>
  <si>
    <t>Partcipant Support Costs</t>
  </si>
  <si>
    <t xml:space="preserve">Tuition Remission* </t>
  </si>
  <si>
    <t>Research On-Campus</t>
  </si>
  <si>
    <t>Public Service On-Campus</t>
  </si>
  <si>
    <t>InstructionOn-Campus</t>
  </si>
  <si>
    <t>Off-Campus</t>
  </si>
  <si>
    <t>Yearly Effort in Months (combined for all GAs)</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</si>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</sst>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116">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2"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0" borderId="13" xfId="0" applyFont="1" applyBorder="1" applyAlignment="1">
      <alignment horizontal="center"/>
    </xf>
    <xf numFmtId="0" fontId="5" fillId="0" borderId="4" xfId="0" quotePrefix="1" applyFont="1" applyBorder="1" applyAlignment="1">
      <alignment horizontal="center"/>
    </xf>
    <xf numFmtId="0" fontId="0" fillId="0" borderId="14" xfId="0" applyBorder="1"/>
    <xf numFmtId="0" fontId="0" fillId="0" borderId="15" xfId="0" applyBorder="1"/>
    <xf numFmtId="0" fontId="0" fillId="0" borderId="16" xfId="0" applyBorder="1"/>
    <xf numFmtId="165" fontId="0" fillId="0" borderId="17" xfId="0" applyNumberFormat="1" applyBorder="1"/>
    <xf numFmtId="165" fontId="0" fillId="0" borderId="7" xfId="0" applyNumberFormat="1" applyBorder="1"/>
    <xf numFmtId="165" fontId="0" fillId="0" borderId="9" xfId="0" applyNumberFormat="1" applyBorder="1"/>
    <xf numFmtId="0" fontId="0" fillId="0" borderId="18"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19"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168" fontId="0" fillId="5" borderId="19" xfId="0" applyNumberFormat="1" applyFill="1" applyBorder="1"/>
    <xf numFmtId="168" fontId="0" fillId="0" borderId="0" xfId="0" applyNumberFormat="1"/>
    <xf numFmtId="164" fontId="8" fillId="0" borderId="5" xfId="0" applyNumberFormat="1" applyFont="1" applyBorder="1" applyAlignment="1" applyProtection="1">
      <alignment horizontal="left"/>
      <protection locked="0"/>
    </xf>
    <xf numFmtId="0" fontId="5" fillId="0" borderId="20" xfId="0" applyFont="1" applyBorder="1" applyAlignment="1">
      <alignment horizontal="center"/>
    </xf>
    <xf numFmtId="0" fontId="5" fillId="0" borderId="21"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2" xfId="0" applyFont="1" applyBorder="1" applyAlignment="1">
      <alignment horizontal="center"/>
    </xf>
    <xf numFmtId="0" fontId="5" fillId="0" borderId="23"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18" xfId="0" applyFont="1" applyFill="1" applyBorder="1"/>
    <xf numFmtId="165" fontId="5" fillId="0" borderId="18" xfId="0" applyNumberFormat="1" applyFont="1" applyBorder="1" applyAlignment="1">
      <alignment horizontal="center"/>
    </xf>
    <xf numFmtId="165" fontId="5" fillId="3" borderId="18"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4" xfId="0" applyFont="1" applyFill="1" applyBorder="1"/>
    <xf numFmtId="0" fontId="6" fillId="0" borderId="4" xfId="0" quotePrefix="1" applyFont="1" applyBorder="1" applyAlignment="1">
      <alignment horizontal="center"/>
    </xf>
    <xf numFmtId="165" fontId="6" fillId="0" borderId="25" xfId="0" applyNumberFormat="1" applyFont="1" applyBorder="1" applyAlignment="1">
      <alignment horizontal="center"/>
    </xf>
    <xf numFmtId="0" fontId="5" fillId="0" borderId="0" xfId="0" applyFont="1" applyAlignment="1">
      <alignment horizontal="left" wrapText="1"/>
    </xf>
    <xf numFmtId="165" fontId="5" fillId="3" borderId="24" xfId="0" applyNumberFormat="1" applyFont="1" applyFill="1" applyBorder="1" applyAlignment="1">
      <alignment horizontal="center"/>
    </xf>
    <xf numFmtId="0" fontId="5" fillId="0" borderId="1" xfId="0" applyFont="1" applyBorder="1" applyAlignment="1">
      <alignment horizontal="left"/>
    </xf>
    <xf numFmtId="165" fontId="6" fillId="0" borderId="0" xfId="0" applyNumberFormat="1" applyFont="1" applyAlignment="1">
      <alignment horizontal="center"/>
    </xf>
    <xf numFmtId="0" fontId="5" fillId="2" borderId="26"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26" xfId="0" applyFont="1" applyBorder="1"/>
    <xf numFmtId="0" fontId="5" fillId="0" borderId="27" xfId="0" applyFont="1" applyBorder="1" applyAlignment="1">
      <alignment horizontal="center"/>
    </xf>
    <xf numFmtId="0" fontId="6" fillId="0" borderId="28" xfId="0" applyFont="1" applyBorder="1"/>
    <xf numFmtId="0" fontId="5" fillId="0" borderId="28"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0" fillId="0" borderId="2" xfId="0" applyBorder="1"/>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18" xfId="0" applyFont="1" applyFill="1" applyBorder="1"/>
    <xf numFmtId="0" fontId="18" fillId="5" borderId="18" xfId="0" applyFont="1" applyFill="1" applyBorder="1"/>
    <xf numFmtId="165" fontId="18" fillId="6" borderId="18" xfId="0" applyNumberFormat="1" applyFont="1" applyFill="1" applyBorder="1" applyAlignment="1">
      <alignment horizontal="center" vertical="center"/>
    </xf>
    <xf numFmtId="165" fontId="5" fillId="3" borderId="31" xfId="0" applyNumberFormat="1" applyFont="1" applyFill="1" applyBorder="1" applyAlignment="1">
      <alignment horizontal="center"/>
    </xf>
    <xf numFmtId="165" fontId="5" fillId="3" borderId="32" xfId="0" applyNumberFormat="1" applyFont="1" applyFill="1" applyBorder="1" applyAlignment="1">
      <alignment horizontal="center"/>
    </xf>
    <xf numFmtId="0" fontId="5" fillId="2" borderId="32" xfId="0" applyFont="1" applyFill="1" applyBorder="1"/>
    <xf numFmtId="165" fontId="5" fillId="0" borderId="33" xfId="0" applyNumberFormat="1" applyFont="1" applyBorder="1" applyAlignment="1">
      <alignment horizontal="center"/>
    </xf>
    <xf numFmtId="165" fontId="5" fillId="0" borderId="34" xfId="0" applyNumberFormat="1" applyFont="1" applyBorder="1" applyAlignment="1">
      <alignment horizontal="center"/>
    </xf>
    <xf numFmtId="0" fontId="15" fillId="5" borderId="29" xfId="0" applyFont="1" applyFill="1" applyBorder="1"/>
    <xf numFmtId="0" fontId="15" fillId="5" borderId="30" xfId="0" applyFont="1" applyFill="1" applyBorder="1"/>
    <xf numFmtId="0" fontId="17" fillId="0" borderId="0" xfId="0" applyFont="1" applyAlignment="1">
      <alignment horizontal="center" vertical="center" wrapText="1"/>
    </xf>
    <xf numFmtId="165" fontId="5" fillId="2" borderId="18" xfId="0" applyNumberFormat="1" applyFont="1" applyFill="1" applyBorder="1" applyAlignment="1">
      <alignment horizontal="center"/>
    </xf>
    <xf numFmtId="9" fontId="2" fillId="0" borderId="35" xfId="1" applyFont="1" applyFill="1" applyBorder="1"/>
    <xf numFmtId="0" fontId="1" fillId="5" borderId="19" xfId="0" applyFont="1" applyFill="1" applyBorder="1"/>
    <xf numFmtId="0" fontId="0" fillId="0" borderId="18" xfId="0" applyBorder="1"/>
    <xf numFmtId="165" fontId="0" fillId="0" borderId="18" xfId="0" applyNumberFormat="1" applyBorder="1"/>
    <xf numFmtId="0" fontId="6" fillId="0" borderId="0" xfId="0" applyFont="1" applyAlignment="1">
      <alignment horizontal="center"/>
    </xf>
    <xf numFmtId="0" fontId="5" fillId="0" borderId="1" xfId="0" applyFont="1" applyBorder="1" applyAlignment="1">
      <alignment horizontal="center" wrapText="1"/>
    </xf>
    <xf numFmtId="0" fontId="6" fillId="0" borderId="0" xfId="0" applyFont="1" applyAlignment="1" applyProtection="1">
      <alignment horizontal="center" vertical="center"/>
      <protection locked="0"/>
    </xf>
    <xf numFmtId="0" fontId="5" fillId="0" borderId="1" xfId="0" applyFont="1" applyBorder="1" applyAlignment="1">
      <alignment horizontal="left" wrapText="1"/>
    </xf>
    <xf numFmtId="0" fontId="6" fillId="0" borderId="0" xfId="0" applyFont="1" applyAlignment="1" applyProtection="1">
      <alignment horizontal="center"/>
      <protection locked="0"/>
    </xf>
    <xf numFmtId="0" fontId="14" fillId="0" borderId="0" xfId="0" applyFont="1" applyAlignment="1">
      <alignment horizontal="center"/>
    </xf>
    <xf numFmtId="0" fontId="6"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5275-37A0-4955-88F6-DF8491622927}">
  <dimension ref="A1:Q281"/>
  <sheetViews>
    <sheetView tabSelected="1" zoomScaleNormal="100" workbookViewId="0">
      <selection activeCell="E289" sqref="E289"/>
    </sheetView>
  </sheetViews>
  <sheetFormatPr defaultRowHeight="13.2"/>
  <cols>
    <col min="1" max="1" width="11.109375" customWidth="1"/>
    <col min="2" max="2" width="3.88671875" customWidth="1"/>
    <col min="3" max="3" width="9" customWidth="1"/>
    <col min="4" max="4" width="24.109375" customWidth="1"/>
    <col min="5" max="5" width="11.88671875" customWidth="1"/>
    <col min="6" max="7" width="18.109375" customWidth="1"/>
    <col min="8" max="8" width="3" customWidth="1"/>
    <col min="9" max="9" width="2.33203125" customWidth="1"/>
    <col min="10" max="10" width="21.77734375" customWidth="1"/>
    <col min="11" max="11" width="15.5546875" customWidth="1"/>
    <col min="12" max="12" width="15" customWidth="1"/>
    <col min="13" max="13" width="12.44140625" customWidth="1"/>
    <col min="14" max="14" width="11.109375" customWidth="1"/>
    <col min="17" max="17" width="15" customWidth="1"/>
  </cols>
  <sheetData>
    <row r="1" spans="1:12" ht="17.399999999999999">
      <c r="A1" s="114"/>
      <c r="B1" s="114"/>
      <c r="C1" s="114"/>
      <c r="D1" s="114"/>
      <c r="E1" s="114"/>
      <c r="F1" s="114"/>
      <c r="G1" s="114"/>
      <c r="H1" s="114"/>
      <c r="I1" s="114"/>
      <c r="J1" s="114"/>
      <c r="K1" s="101" t="s">
        <v>98</v>
      </c>
    </row>
    <row r="2" spans="1:12" ht="16.2" thickBot="1">
      <c r="A2" s="1" t="s">
        <v>16</v>
      </c>
      <c r="B2" s="24"/>
      <c r="C2" s="24"/>
      <c r="D2" s="24"/>
      <c r="E2" s="24"/>
      <c r="F2" s="24"/>
      <c r="G2" s="24"/>
      <c r="H2" s="24"/>
      <c r="I2" s="24"/>
      <c r="J2" s="24"/>
      <c r="K2" s="102">
        <v>1</v>
      </c>
    </row>
    <row r="3" spans="1:12" ht="15.6">
      <c r="A3" s="3" t="s">
        <v>20</v>
      </c>
      <c r="B3" s="24"/>
      <c r="C3" s="24"/>
      <c r="D3" s="24"/>
      <c r="E3" s="24"/>
      <c r="F3" s="24"/>
      <c r="G3" s="24"/>
      <c r="H3" s="24"/>
      <c r="I3" s="24"/>
      <c r="J3" s="24"/>
      <c r="K3" s="24"/>
      <c r="L3" s="25"/>
    </row>
    <row r="4" spans="1:12" ht="15.6">
      <c r="A4" s="3" t="s">
        <v>17</v>
      </c>
      <c r="B4" s="24"/>
      <c r="C4" s="24"/>
      <c r="D4" s="24"/>
      <c r="E4" s="24"/>
      <c r="F4" s="24"/>
      <c r="G4" s="24"/>
      <c r="H4" s="24"/>
      <c r="I4" s="24"/>
      <c r="J4" s="24"/>
      <c r="K4" s="24"/>
      <c r="L4" s="25"/>
    </row>
    <row r="5" spans="1:12" ht="36.75" customHeight="1">
      <c r="C5" s="4" t="s">
        <v>22</v>
      </c>
      <c r="E5" s="112" t="s">
        <v>72</v>
      </c>
      <c r="F5" s="112"/>
      <c r="G5" s="112"/>
      <c r="H5" s="112"/>
      <c r="I5" s="112"/>
      <c r="J5" s="112"/>
      <c r="K5" s="72"/>
    </row>
    <row r="6" spans="1:12" ht="15.6">
      <c r="C6" s="40" t="s">
        <v>21</v>
      </c>
      <c r="E6" s="74" t="s">
        <v>73</v>
      </c>
      <c r="F6" s="74"/>
      <c r="G6" s="74"/>
      <c r="H6" s="74"/>
      <c r="I6" s="74"/>
      <c r="J6" s="74"/>
      <c r="K6" s="20"/>
    </row>
    <row r="8" spans="1:12" ht="13.8" thickBot="1">
      <c r="L8" s="38"/>
    </row>
    <row r="9" spans="1:12" ht="16.2" thickBot="1">
      <c r="B9" s="2"/>
      <c r="C9" s="2"/>
      <c r="D9" s="2"/>
      <c r="E9" s="2"/>
      <c r="F9" s="54" t="s">
        <v>23</v>
      </c>
      <c r="G9" s="54" t="s">
        <v>88</v>
      </c>
      <c r="J9" s="38" t="s">
        <v>64</v>
      </c>
    </row>
    <row r="10" spans="1:12" ht="16.2" thickBot="1">
      <c r="B10" s="48" t="s">
        <v>0</v>
      </c>
      <c r="C10" s="55" t="s">
        <v>74</v>
      </c>
      <c r="D10" s="49"/>
      <c r="E10" s="49"/>
      <c r="F10" s="69"/>
      <c r="G10" s="69"/>
      <c r="J10" s="39"/>
    </row>
    <row r="11" spans="1:12" ht="15.6">
      <c r="B11" s="8"/>
      <c r="C11" s="9" t="s">
        <v>1</v>
      </c>
      <c r="D11" s="6"/>
      <c r="E11" s="10"/>
      <c r="F11" s="64">
        <v>0</v>
      </c>
      <c r="G11" s="64">
        <v>0</v>
      </c>
      <c r="J11" s="38" t="s">
        <v>65</v>
      </c>
    </row>
    <row r="12" spans="1:12" ht="16.2" thickBot="1">
      <c r="B12" s="8"/>
      <c r="C12" s="9" t="s">
        <v>2</v>
      </c>
      <c r="D12" s="6"/>
      <c r="E12" s="10"/>
      <c r="F12" s="64">
        <v>0</v>
      </c>
      <c r="G12" s="64">
        <v>0</v>
      </c>
      <c r="J12" s="38" t="s">
        <v>66</v>
      </c>
    </row>
    <row r="13" spans="1:12" ht="16.2" thickBot="1">
      <c r="B13" s="8"/>
      <c r="C13" s="9" t="s">
        <v>3</v>
      </c>
      <c r="D13" s="6"/>
      <c r="E13" s="10"/>
      <c r="F13" s="64">
        <v>0</v>
      </c>
      <c r="G13" s="64">
        <v>0</v>
      </c>
      <c r="J13" s="39"/>
    </row>
    <row r="14" spans="1:12" ht="16.2" thickBot="1">
      <c r="B14" s="8"/>
      <c r="C14" s="9" t="s">
        <v>4</v>
      </c>
      <c r="D14" s="6"/>
      <c r="E14" s="10"/>
      <c r="F14" s="64">
        <v>0</v>
      </c>
      <c r="G14" s="64">
        <v>0</v>
      </c>
      <c r="J14" s="38" t="s">
        <v>97</v>
      </c>
    </row>
    <row r="15" spans="1:12" ht="16.2" thickBot="1">
      <c r="B15" s="8"/>
      <c r="C15" s="9" t="s">
        <v>24</v>
      </c>
      <c r="D15" s="6"/>
      <c r="E15" s="10"/>
      <c r="F15" s="64">
        <v>0</v>
      </c>
      <c r="G15" s="64">
        <v>0</v>
      </c>
      <c r="J15" s="45"/>
    </row>
    <row r="16" spans="1:12" ht="16.2" thickBot="1">
      <c r="B16" s="8"/>
      <c r="C16" s="9" t="s">
        <v>25</v>
      </c>
      <c r="D16" s="6" t="s">
        <v>48</v>
      </c>
      <c r="E16" s="10"/>
      <c r="F16" s="64">
        <v>0</v>
      </c>
      <c r="G16" s="64">
        <v>0</v>
      </c>
      <c r="J16" s="38" t="s">
        <v>67</v>
      </c>
    </row>
    <row r="17" spans="2:12" ht="16.2" thickBot="1">
      <c r="B17" s="8" t="s">
        <v>33</v>
      </c>
      <c r="C17" s="52" t="s">
        <v>75</v>
      </c>
      <c r="D17" s="6"/>
      <c r="E17" s="10"/>
      <c r="F17" s="63"/>
      <c r="G17" s="63"/>
      <c r="J17" s="106" t="s">
        <v>109</v>
      </c>
    </row>
    <row r="18" spans="2:12" ht="16.2" thickBot="1">
      <c r="B18" s="8"/>
      <c r="C18" s="9" t="s">
        <v>1</v>
      </c>
      <c r="D18" s="6" t="s">
        <v>30</v>
      </c>
      <c r="E18" s="10"/>
      <c r="F18" s="64">
        <v>0</v>
      </c>
      <c r="G18" s="64">
        <v>0</v>
      </c>
      <c r="J18" s="105"/>
      <c r="K18" s="38" t="s">
        <v>83</v>
      </c>
    </row>
    <row r="19" spans="2:12" ht="15.6">
      <c r="B19" s="8"/>
      <c r="C19" s="9" t="s">
        <v>2</v>
      </c>
      <c r="D19" s="6" t="s">
        <v>31</v>
      </c>
      <c r="E19" s="10"/>
      <c r="F19" s="64">
        <v>0</v>
      </c>
      <c r="G19" s="64">
        <v>0</v>
      </c>
      <c r="J19" s="38"/>
    </row>
    <row r="20" spans="2:12" ht="15.6">
      <c r="B20" s="8"/>
      <c r="C20" s="9" t="s">
        <v>3</v>
      </c>
      <c r="D20" s="6" t="s">
        <v>26</v>
      </c>
      <c r="E20" s="10"/>
      <c r="F20" s="64">
        <v>0</v>
      </c>
      <c r="G20" s="63"/>
      <c r="J20" s="86"/>
    </row>
    <row r="21" spans="2:12" ht="15.6">
      <c r="B21" s="8"/>
      <c r="C21" s="53" t="s">
        <v>4</v>
      </c>
      <c r="D21" s="5" t="s">
        <v>27</v>
      </c>
      <c r="E21" s="5"/>
      <c r="F21" s="64">
        <v>0</v>
      </c>
      <c r="G21" s="64">
        <v>0</v>
      </c>
      <c r="J21" s="38"/>
    </row>
    <row r="22" spans="2:12" ht="15.6">
      <c r="B22" s="8"/>
      <c r="C22" s="53" t="s">
        <v>24</v>
      </c>
      <c r="D22" s="5" t="s">
        <v>82</v>
      </c>
      <c r="E22" s="5"/>
      <c r="F22" s="64">
        <v>0</v>
      </c>
      <c r="G22" s="64">
        <v>0</v>
      </c>
      <c r="J22" s="38"/>
    </row>
    <row r="23" spans="2:12" ht="15.6">
      <c r="B23" s="8" t="s">
        <v>5</v>
      </c>
      <c r="C23" s="6" t="s">
        <v>37</v>
      </c>
      <c r="D23" s="6"/>
      <c r="E23" s="5"/>
      <c r="F23" s="64">
        <f>SUM(F11:F22)</f>
        <v>0</v>
      </c>
      <c r="G23" s="64">
        <f>SUM(G11:G22)</f>
        <v>0</v>
      </c>
      <c r="J23" s="38"/>
    </row>
    <row r="24" spans="2:12" ht="30.6" customHeight="1">
      <c r="B24" s="8" t="s">
        <v>6</v>
      </c>
      <c r="C24" s="6" t="s">
        <v>78</v>
      </c>
      <c r="D24" s="6"/>
      <c r="E24" s="47"/>
      <c r="F24" s="63"/>
      <c r="G24" s="63"/>
      <c r="J24" s="90" t="s">
        <v>99</v>
      </c>
      <c r="K24" s="91" t="s">
        <v>113</v>
      </c>
      <c r="L24" s="92"/>
    </row>
    <row r="25" spans="2:12" ht="15.6">
      <c r="B25" s="8"/>
      <c r="C25" s="6" t="s">
        <v>84</v>
      </c>
      <c r="D25" s="6"/>
      <c r="E25" s="60">
        <v>0.41</v>
      </c>
      <c r="F25" s="64">
        <f>ROUND(($E$25)*SUM(F11:F19),0)</f>
        <v>0</v>
      </c>
      <c r="G25" s="64">
        <f>ROUND(($E$25)*SUM(G11:G19),0)</f>
        <v>0</v>
      </c>
      <c r="J25" s="93" t="s">
        <v>100</v>
      </c>
      <c r="K25" s="94"/>
      <c r="L25" s="95">
        <f>(K25/12)*2162</f>
        <v>0</v>
      </c>
    </row>
    <row r="26" spans="2:12" ht="15.6">
      <c r="B26" s="8"/>
      <c r="C26" s="6" t="s">
        <v>85</v>
      </c>
      <c r="D26" s="6"/>
      <c r="E26" s="57">
        <v>7.6499999999999999E-2</v>
      </c>
      <c r="F26" s="64">
        <f>ROUND($F$22*E26,0)</f>
        <v>0</v>
      </c>
      <c r="G26" s="64">
        <f>ROUND($G$22*E26,0)</f>
        <v>0</v>
      </c>
      <c r="J26" s="93" t="s">
        <v>101</v>
      </c>
      <c r="K26" s="94"/>
      <c r="L26" s="95">
        <f>(K26/9)*1730</f>
        <v>0</v>
      </c>
    </row>
    <row r="27" spans="2:12" ht="15.6">
      <c r="B27" s="8"/>
      <c r="C27" s="6" t="s">
        <v>102</v>
      </c>
      <c r="D27" s="6"/>
      <c r="E27" s="57"/>
      <c r="F27" s="64">
        <f>L28</f>
        <v>0</v>
      </c>
      <c r="G27" s="63"/>
      <c r="J27" s="93" t="s">
        <v>103</v>
      </c>
      <c r="K27" s="94"/>
      <c r="L27" s="95">
        <f>(K27/3)*432</f>
        <v>0</v>
      </c>
    </row>
    <row r="28" spans="2:12" ht="15.6">
      <c r="B28" s="8" t="s">
        <v>7</v>
      </c>
      <c r="C28" s="6" t="s">
        <v>79</v>
      </c>
      <c r="D28" s="6"/>
      <c r="E28" s="57"/>
      <c r="F28" s="64">
        <f>SUM(F25:F27)</f>
        <v>0</v>
      </c>
      <c r="G28" s="64">
        <f t="shared" ref="G28" si="0">SUM(G25:G27)</f>
        <v>0</v>
      </c>
      <c r="J28" s="92"/>
      <c r="K28" s="92"/>
      <c r="L28" s="95">
        <f>SUM(L25:L27)</f>
        <v>0</v>
      </c>
    </row>
    <row r="29" spans="2:12" ht="15.6">
      <c r="B29" s="8" t="s">
        <v>8</v>
      </c>
      <c r="C29" s="5" t="s">
        <v>38</v>
      </c>
      <c r="D29" s="6"/>
      <c r="E29" s="10"/>
      <c r="F29" s="64">
        <f>SUM(F23+F28)</f>
        <v>0</v>
      </c>
      <c r="G29" s="64">
        <f>SUM(G23+G28)</f>
        <v>0</v>
      </c>
    </row>
    <row r="30" spans="2:12" ht="15.6">
      <c r="B30" s="7" t="s">
        <v>9</v>
      </c>
      <c r="C30" s="5" t="s">
        <v>28</v>
      </c>
      <c r="D30" s="6"/>
      <c r="E30" s="12"/>
      <c r="F30" s="64">
        <v>0</v>
      </c>
      <c r="G30" s="64">
        <v>0</v>
      </c>
    </row>
    <row r="31" spans="2:12" ht="15.6">
      <c r="B31" s="13" t="s">
        <v>10</v>
      </c>
      <c r="C31" s="14" t="s">
        <v>19</v>
      </c>
      <c r="D31" s="2"/>
      <c r="E31" s="10"/>
      <c r="F31" s="64">
        <v>0</v>
      </c>
      <c r="G31" s="64">
        <v>0</v>
      </c>
    </row>
    <row r="32" spans="2:12" ht="15.6">
      <c r="B32" s="8" t="s">
        <v>11</v>
      </c>
      <c r="C32" s="15" t="s">
        <v>34</v>
      </c>
      <c r="D32" s="6"/>
      <c r="E32" s="10"/>
      <c r="F32" s="64">
        <v>0</v>
      </c>
      <c r="G32" s="64">
        <v>0</v>
      </c>
    </row>
    <row r="33" spans="1:17" ht="15.6">
      <c r="B33" s="8" t="s">
        <v>12</v>
      </c>
      <c r="C33" s="15" t="s">
        <v>35</v>
      </c>
      <c r="D33" s="6"/>
      <c r="E33" s="10"/>
      <c r="F33" s="65"/>
      <c r="G33" s="65"/>
      <c r="L33" s="35" t="s">
        <v>61</v>
      </c>
    </row>
    <row r="34" spans="1:17" ht="15.6">
      <c r="B34" s="21"/>
      <c r="C34" s="15" t="s">
        <v>39</v>
      </c>
      <c r="D34" s="6"/>
      <c r="E34" s="10"/>
      <c r="F34" s="64">
        <f>SUM(K36:K39)</f>
        <v>0</v>
      </c>
      <c r="G34" s="64">
        <v>0</v>
      </c>
      <c r="J34" s="36" t="s">
        <v>55</v>
      </c>
      <c r="L34" s="35" t="s">
        <v>62</v>
      </c>
    </row>
    <row r="35" spans="1:17" ht="15.6">
      <c r="B35" s="8"/>
      <c r="C35" s="15" t="s">
        <v>40</v>
      </c>
      <c r="D35" s="6"/>
      <c r="E35" s="10"/>
      <c r="F35" s="64">
        <v>0</v>
      </c>
      <c r="G35" s="64">
        <v>0</v>
      </c>
      <c r="J35" s="36" t="s">
        <v>56</v>
      </c>
      <c r="K35" s="34" t="s">
        <v>54</v>
      </c>
      <c r="L35" s="35" t="s">
        <v>63</v>
      </c>
    </row>
    <row r="36" spans="1:17" ht="15.6">
      <c r="B36" s="8"/>
      <c r="C36" s="15" t="s">
        <v>77</v>
      </c>
      <c r="D36" s="6"/>
      <c r="E36" s="10"/>
      <c r="F36" s="64">
        <v>0</v>
      </c>
      <c r="G36" s="64">
        <v>0</v>
      </c>
      <c r="J36" s="28" t="s">
        <v>50</v>
      </c>
      <c r="K36" s="31"/>
      <c r="L36" s="37">
        <f>IF(K36&gt;=25000,"25,000",K36)</f>
        <v>0</v>
      </c>
    </row>
    <row r="37" spans="1:17" ht="15.6">
      <c r="B37" s="8" t="s">
        <v>13</v>
      </c>
      <c r="C37" s="15" t="s">
        <v>36</v>
      </c>
      <c r="D37" s="6"/>
      <c r="E37" s="10"/>
      <c r="F37" s="64">
        <v>0</v>
      </c>
      <c r="G37" s="64">
        <v>0</v>
      </c>
      <c r="J37" s="29" t="s">
        <v>51</v>
      </c>
      <c r="K37" s="32"/>
      <c r="L37" s="37">
        <f>IF(K37&gt;=25000,"25,000",K37)</f>
        <v>0</v>
      </c>
    </row>
    <row r="38" spans="1:17" ht="15.6">
      <c r="B38" s="8" t="s">
        <v>14</v>
      </c>
      <c r="C38" s="6" t="s">
        <v>18</v>
      </c>
      <c r="D38" s="6"/>
      <c r="E38" s="10"/>
      <c r="F38" s="64">
        <v>0</v>
      </c>
      <c r="G38" s="64">
        <v>0</v>
      </c>
      <c r="J38" s="29" t="s">
        <v>52</v>
      </c>
      <c r="K38" s="32"/>
      <c r="L38" s="37">
        <f>IF(K38&gt;=25000,"25,000",K38)</f>
        <v>0</v>
      </c>
      <c r="O38" s="44"/>
    </row>
    <row r="39" spans="1:17" ht="15.6">
      <c r="B39" s="8" t="s">
        <v>15</v>
      </c>
      <c r="C39" s="6" t="s">
        <v>93</v>
      </c>
      <c r="D39" s="6"/>
      <c r="E39" s="10"/>
      <c r="F39" s="64">
        <v>0</v>
      </c>
      <c r="G39" s="64">
        <v>0</v>
      </c>
      <c r="J39" s="30" t="s">
        <v>53</v>
      </c>
      <c r="K39" s="33"/>
      <c r="L39" s="37">
        <f>IF(K39&gt;=25000,"25,000",K39)</f>
        <v>0</v>
      </c>
      <c r="O39" s="44"/>
    </row>
    <row r="40" spans="1:17" ht="15.6">
      <c r="B40" s="8" t="s">
        <v>76</v>
      </c>
      <c r="C40" s="52" t="s">
        <v>104</v>
      </c>
      <c r="D40" s="62"/>
      <c r="E40" s="85">
        <v>0.38</v>
      </c>
      <c r="F40" s="64">
        <f>F20*E40</f>
        <v>0</v>
      </c>
      <c r="G40" s="65"/>
      <c r="O40" s="44"/>
    </row>
    <row r="41" spans="1:17" ht="15.6">
      <c r="B41" s="11" t="s">
        <v>80</v>
      </c>
      <c r="C41" s="2" t="s">
        <v>29</v>
      </c>
      <c r="D41" s="2"/>
      <c r="E41" s="16"/>
      <c r="F41" s="64">
        <f>SUM(F29:F40)</f>
        <v>0</v>
      </c>
      <c r="G41" s="64">
        <f>SUM(G29:G40)</f>
        <v>0</v>
      </c>
      <c r="O41" s="44"/>
    </row>
    <row r="42" spans="1:17" ht="15.6">
      <c r="B42" s="8" t="s">
        <v>81</v>
      </c>
      <c r="C42" s="6" t="s">
        <v>41</v>
      </c>
      <c r="D42" s="6"/>
      <c r="E42" s="2"/>
      <c r="F42" s="65"/>
      <c r="G42" s="65"/>
      <c r="J42" t="s">
        <v>92</v>
      </c>
      <c r="O42" s="44"/>
    </row>
    <row r="43" spans="1:17" ht="15.6">
      <c r="B43" s="27" t="s">
        <v>42</v>
      </c>
      <c r="C43" s="66">
        <f>IF(J17="Research On-Campus",0.5,IF(J17="Research State On-Campus",0.26,IF(J17="Public Service On-Campus",0.35,IF(J17="Public Service State On-Campus",0.26,IF(J17="Instruction On-Campus",0.49,IF(J17="Instruction State On-Campus",0.26,IF(J17="Off-Campus",0.26,IF(J17="Other",J18))))))))</f>
        <v>0.5</v>
      </c>
      <c r="D43" s="67" t="s">
        <v>43</v>
      </c>
      <c r="E43" s="68">
        <f>IF($L$36&gt;25000,"25000",$L$36)+IF($L$37&gt;25000,"25000",$L$37)+IF($L$38&gt;25000,"25000",$L$38)+IF($L$39&gt;25000,"25000",$L$39)+$F$41-$F$34-$F$38-$F$40-$F$39</f>
        <v>0</v>
      </c>
      <c r="F43" s="64">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L$36&gt;25000,"25000",$L$36)+IF($L$37&gt;25000,"25000",$L$37)+IF($L$38&gt;25000,"25000",$L$38)+IF($L$39&gt;25000,"25000",$L$39))*$C$43),0))+(ROUND(((F35)*$C$43),0))+(ROUND(((F36)*$C$43),0))+(ROUND(((F37)*$C$43),0))))))))))))</f>
        <v>0</v>
      </c>
      <c r="G43" s="64">
        <f>((ROUND(((ROUND((G11*$E$25)+(G11),0))*$J$43),0)+(ROUND(((ROUND((G12*$E$25)+(G12),0))*$J$43),0)+(ROUND(((ROUND((G13*$E$25)+(G13),0))*$J$43),0)+(ROUND(((ROUND((G14*$E$25)+(G14),0))*$J$43),0)+(ROUND(((ROUND((G15*$E$25)+(G15),0))*$J$43),0)+(ROUND(((ROUND((G16*$E$25)+(G16),0))*$J$43),0)+(ROUND(((ROUND((G18*$E$25)+(G18),0))*$J$43),0)+(ROUND(((ROUND((G19*$E$25)+(G19),0))*$J$43),0)+(ROUND((((G27)+(G20))*$J$43),0))+(ROUND(((G21)*$J$43),0))+(ROUND(((ROUND((G22*$E$26)+(G22),0))*$J$43),0)+(ROUND(((G30)*$J$43),0))+(ROUND(((G31)*$J$43),0))+(ROUND(((G32)*$J$43),0))+(ROUND(((G35)*$J$43),0))+(ROUND(((G36)*$J$43),0))+(ROUND(((G37)*$J$43),0))))))))))))</f>
        <v>0</v>
      </c>
      <c r="J43">
        <f>IF($J$17="Public Service State On-Campus",0.35,IF($J$17="Other",0.5,IF($J$17="Public Service On-Campus",0.35,IF(J17="Research State On-Campus",0.5,IF(J17="Instruction State On-Campus",0.49,IF(J17="Off-Campus",0.26,IF(J17="Research On-Campus",0.5,IF(J17="Instruction On-Campus",0.49))))))))</f>
        <v>0.5</v>
      </c>
      <c r="O43" s="44"/>
    </row>
    <row r="44" spans="1:17" ht="15.6">
      <c r="B44" s="70"/>
      <c r="C44" s="66"/>
      <c r="D44" s="67" t="s">
        <v>89</v>
      </c>
      <c r="E44" s="68"/>
      <c r="F44" s="65"/>
      <c r="G44" s="64">
        <v>0</v>
      </c>
      <c r="O44" s="44"/>
    </row>
    <row r="45" spans="1:17" ht="16.2" thickBot="1">
      <c r="B45" s="26" t="s">
        <v>94</v>
      </c>
      <c r="C45" s="17" t="s">
        <v>32</v>
      </c>
      <c r="D45" s="18"/>
      <c r="E45" s="19"/>
      <c r="F45" s="71">
        <f>SUM(F41:F44)</f>
        <v>0</v>
      </c>
      <c r="G45" s="71">
        <f>SUM(G41:G44)</f>
        <v>0</v>
      </c>
      <c r="H45" s="50"/>
      <c r="O45" s="44"/>
    </row>
    <row r="46" spans="1:17" ht="15.6">
      <c r="B46" s="51" t="s">
        <v>95</v>
      </c>
      <c r="D46" s="2"/>
      <c r="E46" s="2"/>
      <c r="F46" s="75"/>
      <c r="G46" s="75"/>
      <c r="H46" s="75"/>
      <c r="I46" s="75"/>
      <c r="J46" s="50"/>
      <c r="Q46" s="44"/>
    </row>
    <row r="47" spans="1:17" ht="15.6">
      <c r="B47" s="51"/>
      <c r="C47" s="51" t="s">
        <v>96</v>
      </c>
      <c r="D47" s="2"/>
      <c r="E47" s="2"/>
      <c r="F47" s="75"/>
      <c r="G47" s="75"/>
      <c r="H47" s="75"/>
      <c r="I47" s="75"/>
      <c r="J47" s="50"/>
      <c r="Q47" s="44"/>
    </row>
    <row r="48" spans="1:17" ht="15.6">
      <c r="A48" s="51"/>
      <c r="B48" s="51"/>
      <c r="C48" s="20"/>
      <c r="D48" s="2"/>
      <c r="E48" s="2"/>
      <c r="F48" s="2"/>
      <c r="G48" s="2"/>
      <c r="H48" s="2"/>
      <c r="I48" s="2"/>
      <c r="J48" s="50"/>
      <c r="Q48" s="44"/>
    </row>
    <row r="49" spans="1:17" ht="16.5" customHeight="1">
      <c r="A49" s="111" t="s">
        <v>16</v>
      </c>
      <c r="B49" s="111"/>
      <c r="C49" s="111"/>
      <c r="D49" s="111"/>
      <c r="E49" s="111"/>
      <c r="F49" s="111"/>
      <c r="G49" s="111"/>
      <c r="H49" s="111"/>
      <c r="I49" s="111"/>
      <c r="J49" s="111"/>
      <c r="K49" s="111"/>
      <c r="Q49" s="44"/>
    </row>
    <row r="50" spans="1:17" ht="15.6">
      <c r="A50" s="115" t="s">
        <v>20</v>
      </c>
      <c r="B50" s="115"/>
      <c r="C50" s="115"/>
      <c r="D50" s="115"/>
      <c r="E50" s="115"/>
      <c r="F50" s="115"/>
      <c r="G50" s="115"/>
      <c r="H50" s="115"/>
      <c r="I50" s="115"/>
      <c r="J50" s="115"/>
      <c r="K50" s="115"/>
      <c r="Q50" s="44"/>
    </row>
    <row r="51" spans="1:17" ht="13.2" customHeight="1">
      <c r="A51" s="109" t="s">
        <v>44</v>
      </c>
      <c r="B51" s="109"/>
      <c r="C51" s="109"/>
      <c r="D51" s="109"/>
      <c r="E51" s="109"/>
      <c r="F51" s="109"/>
      <c r="G51" s="109"/>
      <c r="H51" s="109"/>
      <c r="I51" s="109"/>
      <c r="J51" s="109"/>
      <c r="K51" s="109"/>
      <c r="Q51" s="44"/>
    </row>
    <row r="52" spans="1:17" ht="36.75" customHeight="1">
      <c r="C52" s="4" t="s">
        <v>22</v>
      </c>
      <c r="D52" s="72"/>
      <c r="E52" s="112" t="str">
        <f>IF($K$2&gt;1,E5,"")</f>
        <v/>
      </c>
      <c r="F52" s="112"/>
      <c r="G52" s="112"/>
      <c r="H52" s="112"/>
      <c r="I52" s="112"/>
      <c r="J52" s="112"/>
      <c r="K52" s="20"/>
      <c r="Q52" s="44"/>
    </row>
    <row r="53" spans="1:17" ht="15.6">
      <c r="B53" s="4"/>
      <c r="C53" s="40" t="s">
        <v>21</v>
      </c>
      <c r="E53" s="52" t="str">
        <f>IF($K$2&gt;1,E6,"")</f>
        <v/>
      </c>
      <c r="F53" s="52"/>
      <c r="G53" s="52"/>
      <c r="H53" s="52"/>
      <c r="I53" s="52"/>
      <c r="J53" s="89"/>
      <c r="Q53" s="44"/>
    </row>
    <row r="54" spans="1:17">
      <c r="Q54" s="44"/>
    </row>
    <row r="55" spans="1:17" ht="13.8" thickBot="1">
      <c r="Q55" s="44"/>
    </row>
    <row r="56" spans="1:17" ht="16.2" thickBot="1">
      <c r="B56" s="2"/>
      <c r="C56" s="2"/>
      <c r="D56" s="2"/>
      <c r="E56" s="2"/>
      <c r="F56" s="54" t="s">
        <v>23</v>
      </c>
      <c r="G56" s="54" t="s">
        <v>88</v>
      </c>
      <c r="J56" s="38"/>
      <c r="O56" s="44"/>
    </row>
    <row r="57" spans="1:17" ht="15.6">
      <c r="B57" s="48" t="s">
        <v>0</v>
      </c>
      <c r="C57" s="49" t="s">
        <v>74</v>
      </c>
      <c r="D57" s="49"/>
      <c r="E57" s="81"/>
      <c r="F57" s="76"/>
      <c r="G57" s="69"/>
      <c r="J57" s="46"/>
      <c r="O57" s="44"/>
    </row>
    <row r="58" spans="1:17" ht="15.6">
      <c r="B58" s="8"/>
      <c r="C58" s="9" t="s">
        <v>1</v>
      </c>
      <c r="D58" s="6" t="str">
        <f>IF(D11=""," ",D11)</f>
        <v xml:space="preserve"> </v>
      </c>
      <c r="E58" s="10"/>
      <c r="F58" s="77" t="str">
        <f t="shared" ref="F58:G63" si="1">IF($K$2&gt;1,ROUND(SUM(F11+(F11*$J$10)),0),"")</f>
        <v/>
      </c>
      <c r="G58" s="77" t="str">
        <f t="shared" si="1"/>
        <v/>
      </c>
      <c r="J58" s="38"/>
      <c r="O58" s="44"/>
    </row>
    <row r="59" spans="1:17" ht="15.6">
      <c r="B59" s="8"/>
      <c r="C59" s="9" t="s">
        <v>2</v>
      </c>
      <c r="D59" s="6" t="str">
        <f>IF(D12=""," ",D12)</f>
        <v xml:space="preserve"> </v>
      </c>
      <c r="E59" s="10"/>
      <c r="F59" s="77" t="str">
        <f t="shared" si="1"/>
        <v/>
      </c>
      <c r="G59" s="77" t="str">
        <f t="shared" si="1"/>
        <v/>
      </c>
      <c r="J59" s="86"/>
      <c r="O59" s="44"/>
    </row>
    <row r="60" spans="1:17" ht="15.6">
      <c r="B60" s="8"/>
      <c r="C60" s="9" t="s">
        <v>3</v>
      </c>
      <c r="D60" s="6" t="str">
        <f>IF(D13=""," ",D13)</f>
        <v xml:space="preserve"> </v>
      </c>
      <c r="E60" s="10"/>
      <c r="F60" s="77" t="str">
        <f t="shared" si="1"/>
        <v/>
      </c>
      <c r="G60" s="77" t="str">
        <f t="shared" si="1"/>
        <v/>
      </c>
      <c r="O60" s="44"/>
    </row>
    <row r="61" spans="1:17" ht="15.6">
      <c r="B61" s="8"/>
      <c r="C61" s="9" t="s">
        <v>4</v>
      </c>
      <c r="D61" s="6" t="str">
        <f>IF(D14=""," ",D14)</f>
        <v xml:space="preserve"> </v>
      </c>
      <c r="E61" s="10"/>
      <c r="F61" s="77" t="str">
        <f t="shared" si="1"/>
        <v/>
      </c>
      <c r="G61" s="77" t="str">
        <f t="shared" si="1"/>
        <v/>
      </c>
      <c r="O61" s="44"/>
    </row>
    <row r="62" spans="1:17" ht="15.6">
      <c r="B62" s="8"/>
      <c r="C62" s="9" t="s">
        <v>24</v>
      </c>
      <c r="D62" s="6" t="str">
        <f>IF(D15=""," ",D15)</f>
        <v xml:space="preserve"> </v>
      </c>
      <c r="E62" s="10"/>
      <c r="F62" s="77" t="str">
        <f t="shared" si="1"/>
        <v/>
      </c>
      <c r="G62" s="77" t="str">
        <f t="shared" si="1"/>
        <v/>
      </c>
      <c r="O62" s="44"/>
    </row>
    <row r="63" spans="1:17" ht="15.6">
      <c r="B63" s="8"/>
      <c r="C63" s="9" t="s">
        <v>25</v>
      </c>
      <c r="D63" s="6" t="s">
        <v>48</v>
      </c>
      <c r="E63" s="10"/>
      <c r="F63" s="77" t="str">
        <f t="shared" si="1"/>
        <v/>
      </c>
      <c r="G63" s="77" t="str">
        <f t="shared" si="1"/>
        <v/>
      </c>
      <c r="O63" s="44"/>
    </row>
    <row r="64" spans="1:17" ht="15.6">
      <c r="B64" s="8" t="s">
        <v>33</v>
      </c>
      <c r="C64" s="52" t="s">
        <v>75</v>
      </c>
      <c r="D64" s="6"/>
      <c r="E64" s="10"/>
      <c r="F64" s="78"/>
      <c r="G64" s="63"/>
      <c r="O64" s="44"/>
    </row>
    <row r="65" spans="2:15" ht="15.6">
      <c r="B65" s="8"/>
      <c r="C65" s="9" t="s">
        <v>1</v>
      </c>
      <c r="D65" s="6" t="s">
        <v>30</v>
      </c>
      <c r="E65" s="10"/>
      <c r="F65" s="77" t="str">
        <f t="shared" ref="F65:G69" si="2">IF($K$2&gt;1,ROUND(SUM(F18+(F18*$J$10)),0),"")</f>
        <v/>
      </c>
      <c r="G65" s="77" t="str">
        <f t="shared" si="2"/>
        <v/>
      </c>
      <c r="O65" s="44"/>
    </row>
    <row r="66" spans="2:15" ht="15.6">
      <c r="B66" s="8"/>
      <c r="C66" s="9" t="s">
        <v>2</v>
      </c>
      <c r="D66" s="6" t="s">
        <v>31</v>
      </c>
      <c r="E66" s="10"/>
      <c r="F66" s="77" t="str">
        <f t="shared" si="2"/>
        <v/>
      </c>
      <c r="G66" s="77" t="str">
        <f t="shared" si="2"/>
        <v/>
      </c>
      <c r="O66" s="44"/>
    </row>
    <row r="67" spans="2:15" ht="15.6">
      <c r="B67" s="8"/>
      <c r="C67" s="9" t="s">
        <v>3</v>
      </c>
      <c r="D67" s="6" t="s">
        <v>26</v>
      </c>
      <c r="E67" s="10"/>
      <c r="F67" s="77" t="str">
        <f t="shared" si="2"/>
        <v/>
      </c>
      <c r="G67" s="104" t="str">
        <f t="shared" si="2"/>
        <v/>
      </c>
      <c r="O67" s="44"/>
    </row>
    <row r="68" spans="2:15" ht="15.6">
      <c r="B68" s="8"/>
      <c r="C68" s="9" t="s">
        <v>4</v>
      </c>
      <c r="D68" s="6" t="s">
        <v>27</v>
      </c>
      <c r="E68" s="10"/>
      <c r="F68" s="77" t="str">
        <f t="shared" si="2"/>
        <v/>
      </c>
      <c r="G68" s="77" t="str">
        <f t="shared" si="2"/>
        <v/>
      </c>
      <c r="O68" s="44"/>
    </row>
    <row r="69" spans="2:15" ht="32.4" customHeight="1">
      <c r="B69" s="8"/>
      <c r="C69" s="9" t="s">
        <v>24</v>
      </c>
      <c r="D69" s="6" t="s">
        <v>82</v>
      </c>
      <c r="E69" s="10"/>
      <c r="F69" s="77" t="str">
        <f t="shared" si="2"/>
        <v/>
      </c>
      <c r="G69" s="77" t="str">
        <f t="shared" si="2"/>
        <v/>
      </c>
      <c r="J69" s="90" t="s">
        <v>99</v>
      </c>
      <c r="K69" s="91" t="s">
        <v>113</v>
      </c>
      <c r="L69" s="92"/>
      <c r="O69" s="44"/>
    </row>
    <row r="70" spans="2:15" ht="15.6">
      <c r="B70" s="8" t="s">
        <v>5</v>
      </c>
      <c r="C70" s="6" t="s">
        <v>37</v>
      </c>
      <c r="D70" s="6"/>
      <c r="E70" s="10"/>
      <c r="F70" s="77" t="str">
        <f>IF($K$2&gt;1,SUM(F58:F69),"")</f>
        <v/>
      </c>
      <c r="G70" s="77" t="str">
        <f>IF($K$2&gt;1,SUM(G58:G69),"")</f>
        <v/>
      </c>
      <c r="J70" s="93" t="s">
        <v>100</v>
      </c>
      <c r="K70" s="94" t="str">
        <f>IF($K$2&gt;1,K25,"")</f>
        <v/>
      </c>
      <c r="L70" s="95" t="str">
        <f>IF($K$2&gt;1,(K70/12)*2162,"")</f>
        <v/>
      </c>
      <c r="O70" s="44"/>
    </row>
    <row r="71" spans="2:15" ht="15.6">
      <c r="B71" s="8" t="s">
        <v>6</v>
      </c>
      <c r="C71" s="6" t="s">
        <v>78</v>
      </c>
      <c r="D71" s="6"/>
      <c r="E71" s="47"/>
      <c r="F71" s="78"/>
      <c r="G71" s="63"/>
      <c r="J71" s="93" t="s">
        <v>101</v>
      </c>
      <c r="K71" s="94" t="str">
        <f>IF($K$2&gt;1,K26,"")</f>
        <v/>
      </c>
      <c r="L71" s="95" t="str">
        <f>IF($K$2&gt;1,(K71/9)*1730,"")</f>
        <v/>
      </c>
      <c r="O71" s="44"/>
    </row>
    <row r="72" spans="2:15" ht="15.6">
      <c r="B72" s="8"/>
      <c r="C72" s="6" t="s">
        <v>84</v>
      </c>
      <c r="D72" s="6"/>
      <c r="E72" s="60">
        <v>0.41</v>
      </c>
      <c r="F72" s="77" t="str">
        <f>IF($K$2&gt;1,ROUND(($E$72)*SUM(F58:F66),0),"")</f>
        <v/>
      </c>
      <c r="G72" s="77" t="str">
        <f>IF($K$2&gt;1,ROUND(($E$72)*SUM(G58:G66),0),"")</f>
        <v/>
      </c>
      <c r="J72" s="93" t="s">
        <v>103</v>
      </c>
      <c r="K72" s="94" t="str">
        <f>IF($K$2&gt;1,K27,"")</f>
        <v/>
      </c>
      <c r="L72" s="95" t="str">
        <f>IF($K$2&gt;1,(K72/3)*432,"")</f>
        <v/>
      </c>
      <c r="O72" s="44"/>
    </row>
    <row r="73" spans="2:15" ht="15.6">
      <c r="B73" s="8"/>
      <c r="C73" s="6" t="s">
        <v>85</v>
      </c>
      <c r="D73" s="6"/>
      <c r="E73" s="57">
        <v>7.6499999999999999E-2</v>
      </c>
      <c r="F73" s="77" t="str">
        <f>IF($K$2&gt;1,F69*$E$73,"")</f>
        <v/>
      </c>
      <c r="G73" s="77" t="str">
        <f>IF($K$2&gt;1,G69*$E$73,"")</f>
        <v/>
      </c>
      <c r="J73" s="92"/>
      <c r="K73" s="92"/>
      <c r="L73" s="95" t="str">
        <f>IF($K$2&gt;1,SUM(L70:L72),"")</f>
        <v/>
      </c>
      <c r="O73" s="44"/>
    </row>
    <row r="74" spans="2:15" ht="15.6">
      <c r="B74" s="8"/>
      <c r="C74" s="6" t="s">
        <v>26</v>
      </c>
      <c r="D74" s="6"/>
      <c r="E74" s="57"/>
      <c r="F74" s="77" t="str">
        <f>IF($K$2&gt;1,L73,"")</f>
        <v/>
      </c>
      <c r="G74" s="64"/>
      <c r="O74" s="44"/>
    </row>
    <row r="75" spans="2:15" ht="15.6">
      <c r="B75" s="8" t="s">
        <v>7</v>
      </c>
      <c r="C75" s="6" t="s">
        <v>79</v>
      </c>
      <c r="D75" s="6"/>
      <c r="E75" s="57"/>
      <c r="F75" s="77" t="str">
        <f>IF($K$2&gt;1,SUM(F72:F74),"")</f>
        <v/>
      </c>
      <c r="G75" s="77" t="str">
        <f>IF($K$2&gt;1,SUM(G72:G74),"")</f>
        <v/>
      </c>
      <c r="O75" s="44"/>
    </row>
    <row r="76" spans="2:15" ht="15.6">
      <c r="B76" s="8" t="s">
        <v>8</v>
      </c>
      <c r="C76" s="6" t="s">
        <v>38</v>
      </c>
      <c r="D76" s="6"/>
      <c r="E76" s="10"/>
      <c r="F76" s="77" t="str">
        <f>IF($K$2&gt;1,SUM(F70+F75),"")</f>
        <v/>
      </c>
      <c r="G76" s="77" t="str">
        <f>IF($K$2&gt;1,SUM(G70+G75),"")</f>
        <v/>
      </c>
      <c r="O76" s="44"/>
    </row>
    <row r="77" spans="2:15" ht="15.6">
      <c r="B77" s="8" t="s">
        <v>9</v>
      </c>
      <c r="C77" s="6" t="s">
        <v>28</v>
      </c>
      <c r="D77" s="6"/>
      <c r="E77" s="10"/>
      <c r="F77" s="77" t="str">
        <f t="shared" ref="F77:G79" si="3">IF($K$2&gt;1,ROUND(SUM(F30+(F30*$J$13)),0),"")</f>
        <v/>
      </c>
      <c r="G77" s="77" t="str">
        <f t="shared" si="3"/>
        <v/>
      </c>
      <c r="O77" s="44"/>
    </row>
    <row r="78" spans="2:15" ht="15.6">
      <c r="B78" s="8" t="s">
        <v>10</v>
      </c>
      <c r="C78" s="15" t="s">
        <v>19</v>
      </c>
      <c r="D78" s="6"/>
      <c r="E78" s="10"/>
      <c r="F78" s="77" t="str">
        <f t="shared" si="3"/>
        <v/>
      </c>
      <c r="G78" s="77" t="str">
        <f t="shared" si="3"/>
        <v/>
      </c>
      <c r="L78" s="35" t="s">
        <v>61</v>
      </c>
      <c r="O78" s="44"/>
    </row>
    <row r="79" spans="2:15" ht="15.6">
      <c r="B79" s="8" t="s">
        <v>11</v>
      </c>
      <c r="C79" s="15" t="s">
        <v>34</v>
      </c>
      <c r="D79" s="6"/>
      <c r="E79" s="10"/>
      <c r="F79" s="77" t="str">
        <f t="shared" si="3"/>
        <v/>
      </c>
      <c r="G79" s="77" t="str">
        <f t="shared" si="3"/>
        <v/>
      </c>
      <c r="J79" s="36" t="s">
        <v>55</v>
      </c>
      <c r="L79" s="35" t="s">
        <v>62</v>
      </c>
      <c r="O79" s="44"/>
    </row>
    <row r="80" spans="2:15" ht="15.6">
      <c r="B80" s="8" t="s">
        <v>12</v>
      </c>
      <c r="C80" s="15" t="s">
        <v>35</v>
      </c>
      <c r="D80" s="6"/>
      <c r="E80" s="10"/>
      <c r="F80" s="79"/>
      <c r="G80" s="65"/>
      <c r="J80" s="36" t="s">
        <v>56</v>
      </c>
      <c r="K80" s="34" t="s">
        <v>57</v>
      </c>
      <c r="L80" s="35" t="s">
        <v>63</v>
      </c>
      <c r="O80" s="44"/>
    </row>
    <row r="81" spans="1:17" ht="15.6">
      <c r="B81" s="21"/>
      <c r="C81" s="15" t="s">
        <v>39</v>
      </c>
      <c r="D81" s="6"/>
      <c r="E81" s="10"/>
      <c r="F81" s="77" t="str">
        <f>IF($K$2&gt;1,SUM(K81:K84),"")</f>
        <v/>
      </c>
      <c r="G81" s="64">
        <v>0</v>
      </c>
      <c r="J81" s="28" t="str">
        <f>IF($K$2&gt;1,$J$36,"Subcontract 1:")</f>
        <v>Subcontract 1:</v>
      </c>
      <c r="K81" s="31"/>
      <c r="L81" s="37">
        <f>IF(K81+L36&gt;=25000,25000-L36,K81)</f>
        <v>0</v>
      </c>
      <c r="O81" s="44"/>
    </row>
    <row r="82" spans="1:17" ht="15.6">
      <c r="B82" s="8"/>
      <c r="C82" s="15" t="s">
        <v>40</v>
      </c>
      <c r="D82" s="6"/>
      <c r="E82" s="10"/>
      <c r="F82" s="77" t="str">
        <f t="shared" ref="F82:G84" si="4">IF($K$2&gt;1,ROUND(SUM(F35+(F35*$J$13)),0),"")</f>
        <v/>
      </c>
      <c r="G82" s="77" t="str">
        <f t="shared" si="4"/>
        <v/>
      </c>
      <c r="J82" s="29" t="str">
        <f>IF($K$2&gt;1,$J$37,"Subcontract 2:")</f>
        <v>Subcontract 2:</v>
      </c>
      <c r="K82" s="32"/>
      <c r="L82" s="37">
        <f>IF(K82+L37&gt;=25000,25000-L37,K82)</f>
        <v>0</v>
      </c>
      <c r="O82" s="44"/>
    </row>
    <row r="83" spans="1:17" ht="15.6">
      <c r="B83" s="8"/>
      <c r="C83" s="15" t="s">
        <v>77</v>
      </c>
      <c r="D83" s="6"/>
      <c r="E83" s="10"/>
      <c r="F83" s="77" t="str">
        <f t="shared" si="4"/>
        <v/>
      </c>
      <c r="G83" s="77" t="str">
        <f t="shared" si="4"/>
        <v/>
      </c>
      <c r="J83" s="29" t="str">
        <f>IF($K$2&gt;1,$J$38,"Subcontract 3:")</f>
        <v>Subcontract 3:</v>
      </c>
      <c r="K83" s="32"/>
      <c r="L83" s="37">
        <f>IF(K83+L38&gt;=25000,25000-L38,K83)</f>
        <v>0</v>
      </c>
      <c r="O83" s="44"/>
    </row>
    <row r="84" spans="1:17" ht="15.6">
      <c r="B84" s="8" t="s">
        <v>13</v>
      </c>
      <c r="C84" s="15" t="s">
        <v>36</v>
      </c>
      <c r="D84" s="6"/>
      <c r="E84" s="10"/>
      <c r="F84" s="77" t="str">
        <f t="shared" si="4"/>
        <v/>
      </c>
      <c r="G84" s="77" t="str">
        <f t="shared" si="4"/>
        <v/>
      </c>
      <c r="J84" s="30" t="str">
        <f>IF($K$2&gt;1,$J$39,"Subcontract 4:")</f>
        <v>Subcontract 4:</v>
      </c>
      <c r="K84" s="33"/>
      <c r="L84" s="37">
        <f>IF(K84+L39&gt;=25000,25000-L39,K84)</f>
        <v>0</v>
      </c>
      <c r="O84" s="44"/>
    </row>
    <row r="85" spans="1:17" ht="15.6">
      <c r="B85" s="8" t="s">
        <v>14</v>
      </c>
      <c r="C85" s="6" t="s">
        <v>18</v>
      </c>
      <c r="D85" s="6"/>
      <c r="E85" s="10"/>
      <c r="F85" s="77">
        <v>0</v>
      </c>
      <c r="G85" s="64">
        <v>0</v>
      </c>
      <c r="O85" s="44"/>
    </row>
    <row r="86" spans="1:17" ht="15.6">
      <c r="B86" s="8" t="s">
        <v>15</v>
      </c>
      <c r="C86" s="6" t="s">
        <v>93</v>
      </c>
      <c r="D86" s="6"/>
      <c r="E86" s="10"/>
      <c r="F86" s="77">
        <v>0</v>
      </c>
      <c r="G86" s="64">
        <v>0</v>
      </c>
      <c r="O86" s="44"/>
    </row>
    <row r="87" spans="1:17" ht="15.6">
      <c r="B87" s="8" t="s">
        <v>76</v>
      </c>
      <c r="C87" s="52" t="s">
        <v>104</v>
      </c>
      <c r="D87" s="62"/>
      <c r="E87" s="85">
        <v>0.38</v>
      </c>
      <c r="F87" s="64" t="str">
        <f>IF($K$2&gt;1,F67*E87,"")</f>
        <v/>
      </c>
      <c r="G87" s="65"/>
      <c r="O87" s="44"/>
    </row>
    <row r="88" spans="1:17" ht="15.6">
      <c r="B88" s="8" t="s">
        <v>80</v>
      </c>
      <c r="C88" s="6" t="s">
        <v>29</v>
      </c>
      <c r="D88" s="6"/>
      <c r="E88" s="10"/>
      <c r="F88" s="77" t="str">
        <f>IF($K$2&gt;1,SUM(F76:F87),"")</f>
        <v/>
      </c>
      <c r="G88" s="77" t="str">
        <f>IF($K$2&gt;1,SUM(G76:G87),"")</f>
        <v/>
      </c>
      <c r="O88" s="44"/>
    </row>
    <row r="89" spans="1:17" ht="15.6">
      <c r="B89" s="8" t="s">
        <v>81</v>
      </c>
      <c r="C89" s="6" t="s">
        <v>41</v>
      </c>
      <c r="D89" s="6"/>
      <c r="E89" s="10"/>
      <c r="F89" s="79"/>
      <c r="G89" s="65"/>
      <c r="O89" s="44"/>
    </row>
    <row r="90" spans="1:17" ht="15.6">
      <c r="B90" s="27" t="s">
        <v>42</v>
      </c>
      <c r="C90" s="66">
        <f>C43</f>
        <v>0.5</v>
      </c>
      <c r="D90" s="67" t="s">
        <v>43</v>
      </c>
      <c r="E90" s="68" t="str">
        <f>IF($K$2&gt;1,(IF($L$81&gt;25000,"25000",$L$81)+IF($L$82&gt;25000,"25000",$L$82)+IF($L$83&gt;25000,"25000",$L$83)+IF($L$84&gt;25000,"25000",$L$84)+$F$88-$F$81-$F$85-$F$87-$F$86),"")</f>
        <v/>
      </c>
      <c r="F90" s="77" t="str">
        <f>IF($K$2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L$81&gt;25000,"25000",$L$81)+IF($L$82&gt;25000,"25000",$L$82)+IF($L$83&gt;25000,"25000",$L$83)+IF($L$84&gt;25000,"25000",$L$84))*$C$90),0))+(ROUND(((F82)*$C$90),0))+(ROUND(((F83)*$C$90),0))+(ROUND(((F84)*$C$90),0)))))))))))),"")</f>
        <v/>
      </c>
      <c r="G90" s="64" t="str">
        <f>IF($K$2&gt;1,((ROUND(((ROUND((G58*$E$72)+(G58),0))*$J$43),0)+(ROUND(((ROUND((G59*$E$72)+(G59),0))*$J$43),0)+(ROUND(((ROUND((G60*$E$72)+(G60),0))*$J$43),0)+(ROUND(((ROUND((G61*$E$72)+(G61),0))*$J$43),0)+(ROUND(((ROUND((G62*$E$72)+(G62),0))*$J$43),0)+(ROUND(((ROUND((G63*$E$72)+(G63),0))*$J$43),0)+(ROUND(((ROUND((G65*$E$72)+(G65),0))*$J$43),0)+(ROUND(((ROUND((G66*$E$72)+(G66),0))*$J$43),0)+(ROUND((((G74)+(G67))*$J$43),0))+(ROUND(((G68)*$J$43),0))+(ROUND(((ROUND((G69*$E$73)+(G69),0))*$J$43),0)+(ROUND(((G77)*$J$43),0))+(ROUND(((G78)*$J$43),0))+(ROUND(((G79)*$J$43),0))+(ROUND(((G82)*$J$43),0))+(ROUND(((G83)*$J$43),0))+(ROUND(((G84)*$J$43),0)))))))))))),"")</f>
        <v/>
      </c>
      <c r="H90" s="50"/>
      <c r="O90" s="44"/>
    </row>
    <row r="91" spans="1:17" ht="15.6">
      <c r="A91" s="51"/>
      <c r="B91" s="27"/>
      <c r="C91" s="66"/>
      <c r="D91" s="67" t="s">
        <v>89</v>
      </c>
      <c r="E91" s="68"/>
      <c r="F91" s="79"/>
      <c r="G91" s="64">
        <v>0</v>
      </c>
      <c r="H91" s="56"/>
      <c r="I91" s="56"/>
      <c r="O91" s="44"/>
    </row>
    <row r="92" spans="1:17" ht="16.2" thickBot="1">
      <c r="A92" s="51"/>
      <c r="B92" s="82" t="s">
        <v>94</v>
      </c>
      <c r="C92" s="83" t="s">
        <v>32</v>
      </c>
      <c r="D92" s="84"/>
      <c r="E92" s="84"/>
      <c r="F92" s="80" t="str">
        <f>IF($K$2&gt;1,SUM(F88:F91),"")</f>
        <v/>
      </c>
      <c r="G92" s="80" t="str">
        <f>IF($K$2&gt;1,SUM(G88:G91),"")</f>
        <v/>
      </c>
      <c r="H92" s="56"/>
      <c r="I92" s="56"/>
      <c r="O92" s="44"/>
    </row>
    <row r="93" spans="1:17" ht="15.6">
      <c r="A93" s="51"/>
      <c r="B93" s="51" t="s">
        <v>95</v>
      </c>
      <c r="D93" s="2"/>
      <c r="E93" s="2"/>
      <c r="F93" s="75"/>
      <c r="G93" s="75"/>
      <c r="H93" s="75"/>
      <c r="I93" s="75"/>
      <c r="J93" s="56"/>
      <c r="K93" s="56"/>
      <c r="Q93" s="44"/>
    </row>
    <row r="94" spans="1:17" ht="15.6">
      <c r="A94" s="51"/>
      <c r="B94" s="51"/>
      <c r="C94" s="51" t="s">
        <v>96</v>
      </c>
      <c r="D94" s="2"/>
      <c r="E94" s="2"/>
      <c r="F94" s="75"/>
      <c r="G94" s="75"/>
      <c r="H94" s="75"/>
      <c r="I94" s="75"/>
      <c r="J94" s="56"/>
      <c r="K94" s="56"/>
      <c r="Q94" s="44"/>
    </row>
    <row r="95" spans="1:17" ht="15.6">
      <c r="A95" s="51"/>
      <c r="B95" s="51"/>
      <c r="C95" s="51"/>
      <c r="D95" s="2"/>
      <c r="E95" s="2"/>
      <c r="F95" s="75"/>
      <c r="G95" s="75"/>
      <c r="H95" s="75"/>
      <c r="I95" s="75"/>
      <c r="J95" s="56"/>
      <c r="K95" s="56"/>
      <c r="Q95" s="44"/>
    </row>
    <row r="96" spans="1:17" ht="16.5" customHeight="1">
      <c r="A96" s="111" t="s">
        <v>16</v>
      </c>
      <c r="B96" s="111"/>
      <c r="C96" s="111"/>
      <c r="D96" s="111"/>
      <c r="E96" s="111"/>
      <c r="F96" s="111"/>
      <c r="G96" s="111"/>
      <c r="H96" s="111"/>
      <c r="I96" s="111"/>
      <c r="J96" s="111"/>
      <c r="K96" s="111"/>
      <c r="Q96" s="44"/>
    </row>
    <row r="97" spans="1:17" ht="16.5" customHeight="1">
      <c r="A97" s="109" t="s">
        <v>20</v>
      </c>
      <c r="B97" s="109"/>
      <c r="C97" s="109"/>
      <c r="D97" s="109"/>
      <c r="E97" s="109"/>
      <c r="F97" s="109"/>
      <c r="G97" s="109"/>
      <c r="H97" s="109"/>
      <c r="I97" s="109"/>
      <c r="J97" s="109"/>
      <c r="K97" s="109"/>
      <c r="Q97" s="44"/>
    </row>
    <row r="98" spans="1:17" ht="15.6">
      <c r="A98" s="109" t="s">
        <v>45</v>
      </c>
      <c r="B98" s="109"/>
      <c r="C98" s="109"/>
      <c r="D98" s="109"/>
      <c r="E98" s="109"/>
      <c r="F98" s="109"/>
      <c r="G98" s="109"/>
      <c r="H98" s="109"/>
      <c r="I98" s="109"/>
      <c r="J98" s="109"/>
      <c r="K98" s="109"/>
      <c r="Q98" s="44"/>
    </row>
    <row r="99" spans="1:17" ht="36.75" customHeight="1">
      <c r="C99" s="4" t="s">
        <v>22</v>
      </c>
      <c r="D99" s="72"/>
      <c r="E99" s="110" t="str">
        <f>IF($K$2&gt;2,E5,"")</f>
        <v/>
      </c>
      <c r="F99" s="110"/>
      <c r="G99" s="110"/>
      <c r="H99" s="110"/>
      <c r="I99" s="110"/>
      <c r="J99" s="110"/>
      <c r="Q99" s="44"/>
    </row>
    <row r="100" spans="1:17" ht="15.6">
      <c r="B100" s="4"/>
      <c r="C100" s="40" t="s">
        <v>21</v>
      </c>
      <c r="E100" s="52" t="str">
        <f>IF($K$2&gt;2,E6,"")</f>
        <v/>
      </c>
      <c r="F100" s="52"/>
      <c r="G100" s="52"/>
      <c r="H100" s="52"/>
      <c r="I100" s="52"/>
      <c r="J100" s="89"/>
      <c r="Q100" s="44"/>
    </row>
    <row r="101" spans="1:17">
      <c r="Q101" s="44"/>
    </row>
    <row r="102" spans="1:17" ht="13.8" thickBot="1">
      <c r="J102" s="38"/>
      <c r="L102" s="38"/>
      <c r="Q102" s="44"/>
    </row>
    <row r="103" spans="1:17" ht="16.2" thickBot="1">
      <c r="B103" s="2"/>
      <c r="C103" s="2"/>
      <c r="D103" s="2"/>
      <c r="E103" s="2"/>
      <c r="F103" s="54" t="s">
        <v>23</v>
      </c>
      <c r="G103" s="54" t="s">
        <v>88</v>
      </c>
      <c r="J103" s="46"/>
      <c r="O103" s="44"/>
    </row>
    <row r="104" spans="1:17" ht="15.6">
      <c r="B104" s="48" t="s">
        <v>0</v>
      </c>
      <c r="C104" s="55" t="s">
        <v>74</v>
      </c>
      <c r="D104" s="49"/>
      <c r="E104" s="49"/>
      <c r="F104" s="69"/>
      <c r="G104" s="69"/>
      <c r="J104" s="38"/>
      <c r="O104" s="44"/>
    </row>
    <row r="105" spans="1:17" ht="15.6">
      <c r="B105" s="8"/>
      <c r="C105" s="9" t="s">
        <v>1</v>
      </c>
      <c r="D105" s="6" t="str">
        <f>IF(D11=""," ",D11)</f>
        <v xml:space="preserve"> </v>
      </c>
      <c r="E105" s="10"/>
      <c r="F105" s="64" t="str">
        <f t="shared" ref="F105:G110" si="5">IF($K$2&gt;2,ROUND(SUM(F58+(F58*$J$10)),0),"")</f>
        <v/>
      </c>
      <c r="G105" s="64" t="str">
        <f t="shared" si="5"/>
        <v/>
      </c>
      <c r="J105" s="86"/>
      <c r="O105" s="44"/>
    </row>
    <row r="106" spans="1:17" ht="15.6">
      <c r="B106" s="8"/>
      <c r="C106" s="9" t="s">
        <v>2</v>
      </c>
      <c r="D106" s="6" t="str">
        <f>IF(D12=""," ",D12)</f>
        <v xml:space="preserve"> </v>
      </c>
      <c r="E106" s="10"/>
      <c r="F106" s="64" t="str">
        <f t="shared" si="5"/>
        <v/>
      </c>
      <c r="G106" s="64" t="str">
        <f t="shared" si="5"/>
        <v/>
      </c>
      <c r="O106" s="44"/>
    </row>
    <row r="107" spans="1:17" ht="15.6">
      <c r="B107" s="8"/>
      <c r="C107" s="9" t="s">
        <v>3</v>
      </c>
      <c r="D107" s="6" t="str">
        <f>IF(D13=""," ",D13)</f>
        <v xml:space="preserve"> </v>
      </c>
      <c r="E107" s="10"/>
      <c r="F107" s="64" t="str">
        <f t="shared" si="5"/>
        <v/>
      </c>
      <c r="G107" s="64" t="str">
        <f t="shared" si="5"/>
        <v/>
      </c>
      <c r="O107" s="44"/>
    </row>
    <row r="108" spans="1:17" ht="15.6">
      <c r="B108" s="8"/>
      <c r="C108" s="9" t="s">
        <v>4</v>
      </c>
      <c r="D108" s="6" t="str">
        <f>IF(D14=""," ",D14)</f>
        <v xml:space="preserve"> </v>
      </c>
      <c r="E108" s="10"/>
      <c r="F108" s="64" t="str">
        <f t="shared" si="5"/>
        <v/>
      </c>
      <c r="G108" s="64" t="str">
        <f t="shared" si="5"/>
        <v/>
      </c>
      <c r="O108" s="44"/>
    </row>
    <row r="109" spans="1:17" ht="15.6">
      <c r="B109" s="8"/>
      <c r="C109" s="9" t="s">
        <v>24</v>
      </c>
      <c r="D109" s="6" t="str">
        <f>IF(D15=""," ",D15)</f>
        <v xml:space="preserve"> </v>
      </c>
      <c r="E109" s="10"/>
      <c r="F109" s="64" t="str">
        <f t="shared" si="5"/>
        <v/>
      </c>
      <c r="G109" s="64" t="str">
        <f t="shared" si="5"/>
        <v/>
      </c>
      <c r="O109" s="44"/>
    </row>
    <row r="110" spans="1:17" ht="15.6">
      <c r="B110" s="8"/>
      <c r="C110" s="9" t="s">
        <v>25</v>
      </c>
      <c r="D110" s="6" t="s">
        <v>48</v>
      </c>
      <c r="E110" s="10"/>
      <c r="F110" s="64" t="str">
        <f t="shared" si="5"/>
        <v/>
      </c>
      <c r="G110" s="64" t="str">
        <f t="shared" si="5"/>
        <v/>
      </c>
      <c r="O110" s="44"/>
    </row>
    <row r="111" spans="1:17" ht="15.6">
      <c r="B111" s="8" t="s">
        <v>33</v>
      </c>
      <c r="C111" s="52" t="s">
        <v>75</v>
      </c>
      <c r="D111" s="6"/>
      <c r="E111" s="10"/>
      <c r="F111" s="63"/>
      <c r="G111" s="63"/>
      <c r="O111" s="44"/>
    </row>
    <row r="112" spans="1:17" ht="15.6">
      <c r="B112" s="8"/>
      <c r="C112" s="61" t="s">
        <v>1</v>
      </c>
      <c r="D112" s="6" t="s">
        <v>30</v>
      </c>
      <c r="E112" s="10"/>
      <c r="F112" s="64" t="str">
        <f t="shared" ref="F112:G115" si="6">IF($K$2&gt;2,ROUND(SUM(F65+(F65*$J$10)),0),"")</f>
        <v/>
      </c>
      <c r="G112" s="64" t="str">
        <f t="shared" si="6"/>
        <v/>
      </c>
      <c r="O112" s="44"/>
    </row>
    <row r="113" spans="2:15" ht="15.6">
      <c r="B113" s="8"/>
      <c r="C113" s="9" t="s">
        <v>2</v>
      </c>
      <c r="D113" s="6" t="s">
        <v>31</v>
      </c>
      <c r="E113" s="10"/>
      <c r="F113" s="64" t="str">
        <f t="shared" si="6"/>
        <v/>
      </c>
      <c r="G113" s="64" t="str">
        <f t="shared" si="6"/>
        <v/>
      </c>
      <c r="O113" s="44"/>
    </row>
    <row r="114" spans="2:15" ht="15.6">
      <c r="B114" s="8"/>
      <c r="C114" s="9" t="s">
        <v>3</v>
      </c>
      <c r="D114" s="6" t="s">
        <v>26</v>
      </c>
      <c r="E114" s="5"/>
      <c r="F114" s="64" t="str">
        <f t="shared" si="6"/>
        <v/>
      </c>
      <c r="G114" s="104" t="str">
        <f t="shared" si="6"/>
        <v/>
      </c>
      <c r="O114" s="44"/>
    </row>
    <row r="115" spans="2:15" ht="15.6">
      <c r="B115" s="8"/>
      <c r="C115" s="9" t="s">
        <v>4</v>
      </c>
      <c r="D115" s="6" t="s">
        <v>27</v>
      </c>
      <c r="E115" s="6"/>
      <c r="F115" s="64" t="str">
        <f t="shared" si="6"/>
        <v/>
      </c>
      <c r="G115" s="64" t="str">
        <f t="shared" si="6"/>
        <v/>
      </c>
      <c r="O115" s="44"/>
    </row>
    <row r="116" spans="2:15" ht="15.6">
      <c r="B116" s="7"/>
      <c r="C116" s="53" t="s">
        <v>24</v>
      </c>
      <c r="D116" s="5" t="s">
        <v>82</v>
      </c>
      <c r="E116" s="5"/>
      <c r="F116" s="64">
        <v>0</v>
      </c>
      <c r="G116" s="64">
        <v>0</v>
      </c>
      <c r="O116" s="44"/>
    </row>
    <row r="117" spans="2:15" ht="15.6">
      <c r="B117" s="8" t="s">
        <v>5</v>
      </c>
      <c r="C117" s="6" t="s">
        <v>37</v>
      </c>
      <c r="D117" s="6"/>
      <c r="E117" s="5"/>
      <c r="F117" s="64" t="str">
        <f>IF($K$2&gt;2,SUM(F105:F116),"")</f>
        <v/>
      </c>
      <c r="G117" s="64" t="str">
        <f>IF($K$2&gt;2,SUM(G105:G116),"")</f>
        <v/>
      </c>
      <c r="O117" s="44"/>
    </row>
    <row r="118" spans="2:15" ht="29.4" customHeight="1">
      <c r="B118" s="8" t="s">
        <v>6</v>
      </c>
      <c r="C118" s="6" t="s">
        <v>78</v>
      </c>
      <c r="D118" s="6"/>
      <c r="E118" s="47"/>
      <c r="F118" s="63"/>
      <c r="G118" s="63"/>
      <c r="J118" s="90" t="s">
        <v>99</v>
      </c>
      <c r="K118" s="91" t="s">
        <v>113</v>
      </c>
      <c r="L118" s="92"/>
      <c r="O118" s="44"/>
    </row>
    <row r="119" spans="2:15" ht="15.6">
      <c r="B119" s="8"/>
      <c r="C119" s="6" t="s">
        <v>84</v>
      </c>
      <c r="D119" s="6"/>
      <c r="E119" s="60">
        <v>0.41</v>
      </c>
      <c r="F119" s="64" t="str">
        <f>IF($K$2&gt;2,ROUND(($E$119)*SUM(F105:F113),0),"")</f>
        <v/>
      </c>
      <c r="G119" s="64" t="str">
        <f>IF($K$2&gt;2,ROUND(($E$119)*SUM(G105:G113),0),"")</f>
        <v/>
      </c>
      <c r="J119" s="93" t="s">
        <v>100</v>
      </c>
      <c r="K119" s="94" t="str">
        <f>IF($K$2&gt;2,K70,"")</f>
        <v/>
      </c>
      <c r="L119" s="95" t="str">
        <f>IF($K$2&gt;2,(K119/12)*2162,"")</f>
        <v/>
      </c>
      <c r="O119" s="44"/>
    </row>
    <row r="120" spans="2:15" ht="15.6">
      <c r="B120" s="8"/>
      <c r="C120" s="6" t="s">
        <v>85</v>
      </c>
      <c r="D120" s="6"/>
      <c r="E120" s="57">
        <v>7.6499999999999999E-2</v>
      </c>
      <c r="F120" s="64" t="str">
        <f>IF($K$2&gt;2,ROUND($E$120*F116,0),"")</f>
        <v/>
      </c>
      <c r="G120" s="64" t="str">
        <f>IF($K$2&gt;2,ROUND($E$120*G116,0),"")</f>
        <v/>
      </c>
      <c r="J120" s="93" t="s">
        <v>101</v>
      </c>
      <c r="K120" s="94" t="str">
        <f>IF($K$2&gt;2,K71,"")</f>
        <v/>
      </c>
      <c r="L120" s="95" t="str">
        <f>IF($K$2&gt;2,(K120/9)*1730,"")</f>
        <v/>
      </c>
      <c r="O120" s="44"/>
    </row>
    <row r="121" spans="2:15" ht="15.6">
      <c r="B121" s="8"/>
      <c r="C121" s="6" t="s">
        <v>105</v>
      </c>
      <c r="D121" s="6"/>
      <c r="E121" s="57"/>
      <c r="F121" s="64" t="str">
        <f>L122</f>
        <v/>
      </c>
      <c r="G121" s="64"/>
      <c r="J121" s="93" t="s">
        <v>103</v>
      </c>
      <c r="K121" s="94" t="str">
        <f>IF($K$2&gt;2,K72,"")</f>
        <v/>
      </c>
      <c r="L121" s="95" t="str">
        <f>IF($K$2&gt;2,(K121/3)*432,"")</f>
        <v/>
      </c>
      <c r="O121" s="44"/>
    </row>
    <row r="122" spans="2:15" ht="15.6">
      <c r="B122" s="8" t="s">
        <v>7</v>
      </c>
      <c r="C122" s="6" t="s">
        <v>79</v>
      </c>
      <c r="D122" s="6"/>
      <c r="E122" s="57"/>
      <c r="F122" s="64" t="str">
        <f>IF($K$2&gt;2,SUM(F119:F121),"")</f>
        <v/>
      </c>
      <c r="G122" s="64" t="str">
        <f>IF($K$2&gt;2,SUM(G119:G121),"")</f>
        <v/>
      </c>
      <c r="J122" s="92"/>
      <c r="K122" s="92"/>
      <c r="L122" s="95" t="str">
        <f>IF($K$2&gt;2,SUM(L119:L121),"")</f>
        <v/>
      </c>
      <c r="O122" s="44"/>
    </row>
    <row r="123" spans="2:15" ht="15.6">
      <c r="B123" s="8" t="s">
        <v>8</v>
      </c>
      <c r="C123" s="5" t="s">
        <v>38</v>
      </c>
      <c r="D123" s="6"/>
      <c r="E123" s="10"/>
      <c r="F123" s="64" t="str">
        <f>IF($K$2&gt;2,SUM(F117+F122),"")</f>
        <v/>
      </c>
      <c r="G123" s="64" t="str">
        <f>IF($K$2&gt;2,SUM(G117+G122),"")</f>
        <v/>
      </c>
      <c r="O123" s="44"/>
    </row>
    <row r="124" spans="2:15" ht="15.6">
      <c r="B124" s="7" t="s">
        <v>9</v>
      </c>
      <c r="C124" s="5" t="s">
        <v>28</v>
      </c>
      <c r="D124" s="6"/>
      <c r="E124" s="12"/>
      <c r="F124" s="64" t="str">
        <f t="shared" ref="F124:G126" si="7">IF($K$2&gt;2,ROUND(SUM(F77+(F77*$J$13)),0),"")</f>
        <v/>
      </c>
      <c r="G124" s="64" t="str">
        <f t="shared" si="7"/>
        <v/>
      </c>
      <c r="O124" s="44"/>
    </row>
    <row r="125" spans="2:15" ht="15.6">
      <c r="B125" s="13" t="s">
        <v>10</v>
      </c>
      <c r="C125" s="14" t="s">
        <v>19</v>
      </c>
      <c r="D125" s="2"/>
      <c r="E125" s="10"/>
      <c r="F125" s="64" t="str">
        <f t="shared" si="7"/>
        <v/>
      </c>
      <c r="G125" s="64" t="str">
        <f t="shared" si="7"/>
        <v/>
      </c>
      <c r="L125" s="35" t="s">
        <v>61</v>
      </c>
      <c r="O125" s="44"/>
    </row>
    <row r="126" spans="2:15" ht="15.6">
      <c r="B126" s="8" t="s">
        <v>11</v>
      </c>
      <c r="C126" s="15" t="s">
        <v>34</v>
      </c>
      <c r="D126" s="6"/>
      <c r="E126" s="10"/>
      <c r="F126" s="64" t="str">
        <f t="shared" si="7"/>
        <v/>
      </c>
      <c r="G126" s="64" t="str">
        <f t="shared" si="7"/>
        <v/>
      </c>
      <c r="J126" s="36" t="s">
        <v>55</v>
      </c>
      <c r="L126" s="35" t="s">
        <v>62</v>
      </c>
      <c r="O126" s="44"/>
    </row>
    <row r="127" spans="2:15" ht="15.6">
      <c r="B127" s="8" t="s">
        <v>12</v>
      </c>
      <c r="C127" s="15" t="s">
        <v>35</v>
      </c>
      <c r="D127" s="6"/>
      <c r="E127" s="10"/>
      <c r="F127" s="65"/>
      <c r="G127" s="65"/>
      <c r="J127" s="36" t="s">
        <v>56</v>
      </c>
      <c r="K127" s="34" t="s">
        <v>58</v>
      </c>
      <c r="L127" s="35" t="s">
        <v>63</v>
      </c>
      <c r="O127" s="44"/>
    </row>
    <row r="128" spans="2:15" ht="15.6">
      <c r="B128" s="21"/>
      <c r="C128" s="15" t="s">
        <v>39</v>
      </c>
      <c r="D128" s="6"/>
      <c r="E128" s="10"/>
      <c r="F128" s="64" t="str">
        <f>IF($K$2&gt;2,SUM(K128:K131),"")</f>
        <v/>
      </c>
      <c r="G128" s="64">
        <v>0</v>
      </c>
      <c r="J128" s="28" t="str">
        <f>IF($K$2&gt;2,$J$36,"Subcontract 1:")</f>
        <v>Subcontract 1:</v>
      </c>
      <c r="K128" s="31"/>
      <c r="L128" s="37">
        <f>IF(K128+L36+L81&gt;=25000,25000-(L36+L81),K128)</f>
        <v>0</v>
      </c>
      <c r="O128" s="44"/>
    </row>
    <row r="129" spans="1:17" ht="15.6">
      <c r="B129" s="8"/>
      <c r="C129" s="15" t="s">
        <v>40</v>
      </c>
      <c r="D129" s="6"/>
      <c r="E129" s="10"/>
      <c r="F129" s="64" t="str">
        <f t="shared" ref="F129:G131" si="8">IF($K$2&gt;2,ROUND(SUM(F82+(F82*$J$13)),0),"")</f>
        <v/>
      </c>
      <c r="G129" s="64" t="str">
        <f t="shared" si="8"/>
        <v/>
      </c>
      <c r="J129" s="29" t="str">
        <f>IF($K$2&gt;2,$J$37,"Subcontract 2:")</f>
        <v>Subcontract 2:</v>
      </c>
      <c r="K129" s="32"/>
      <c r="L129" s="37">
        <f>IF(K129+L37+L82&gt;=25000,25000-(L37+L82),K129)</f>
        <v>0</v>
      </c>
      <c r="O129" s="44"/>
    </row>
    <row r="130" spans="1:17" ht="15.6">
      <c r="B130" s="8"/>
      <c r="C130" s="15" t="s">
        <v>77</v>
      </c>
      <c r="D130" s="6"/>
      <c r="E130" s="10"/>
      <c r="F130" s="64" t="str">
        <f t="shared" si="8"/>
        <v/>
      </c>
      <c r="G130" s="64" t="str">
        <f t="shared" si="8"/>
        <v/>
      </c>
      <c r="J130" s="29" t="str">
        <f>IF($K$2&gt;2,$J$38,"Subcontract 3:")</f>
        <v>Subcontract 3:</v>
      </c>
      <c r="K130" s="32"/>
      <c r="L130" s="37">
        <f>IF(K130+L38+L83&gt;=25000,25000-(L38+L83),K130)</f>
        <v>0</v>
      </c>
      <c r="O130" s="44"/>
    </row>
    <row r="131" spans="1:17" ht="15.6">
      <c r="B131" s="8" t="s">
        <v>13</v>
      </c>
      <c r="C131" s="15" t="s">
        <v>36</v>
      </c>
      <c r="D131" s="6"/>
      <c r="E131" s="10"/>
      <c r="F131" s="64" t="str">
        <f t="shared" si="8"/>
        <v/>
      </c>
      <c r="G131" s="64" t="str">
        <f t="shared" si="8"/>
        <v/>
      </c>
      <c r="J131" s="30" t="str">
        <f>IF($K$2&gt;2,$J$39,"Subcontract 4:")</f>
        <v>Subcontract 4:</v>
      </c>
      <c r="K131" s="33"/>
      <c r="L131" s="37">
        <f>IF(K131+L39+L84&gt;=25000,25000-(L39+L84),K131)</f>
        <v>0</v>
      </c>
      <c r="O131" s="44"/>
    </row>
    <row r="132" spans="1:17" ht="15.6">
      <c r="B132" s="8" t="s">
        <v>14</v>
      </c>
      <c r="C132" s="6" t="s">
        <v>18</v>
      </c>
      <c r="D132" s="6"/>
      <c r="E132" s="10"/>
      <c r="F132" s="64">
        <v>0</v>
      </c>
      <c r="G132" s="64">
        <v>0</v>
      </c>
      <c r="O132" s="44"/>
    </row>
    <row r="133" spans="1:17" ht="15.6">
      <c r="B133" s="8" t="s">
        <v>15</v>
      </c>
      <c r="C133" s="6" t="s">
        <v>93</v>
      </c>
      <c r="D133" s="6"/>
      <c r="E133" s="10"/>
      <c r="F133" s="64">
        <v>0</v>
      </c>
      <c r="G133" s="64">
        <v>0</v>
      </c>
      <c r="O133" s="44"/>
    </row>
    <row r="134" spans="1:17" ht="15.6">
      <c r="B134" s="8" t="s">
        <v>76</v>
      </c>
      <c r="C134" s="52" t="s">
        <v>104</v>
      </c>
      <c r="D134" s="62"/>
      <c r="E134" s="85">
        <v>0.38</v>
      </c>
      <c r="F134" s="64" t="str">
        <f>IF($K$2&gt;2,F114*E134,"")</f>
        <v/>
      </c>
      <c r="G134" s="65"/>
      <c r="O134" s="44"/>
    </row>
    <row r="135" spans="1:17" ht="15.6">
      <c r="B135" s="11" t="s">
        <v>80</v>
      </c>
      <c r="C135" s="2" t="s">
        <v>29</v>
      </c>
      <c r="D135" s="2"/>
      <c r="E135" s="16"/>
      <c r="F135" s="64" t="str">
        <f>IF($K$2&gt;2,SUM(F123:F134),"")</f>
        <v/>
      </c>
      <c r="G135" s="64" t="str">
        <f>IF($K$2&gt;2,SUM(G123:G134),"")</f>
        <v/>
      </c>
      <c r="O135" s="44"/>
    </row>
    <row r="136" spans="1:17" ht="15.6">
      <c r="B136" s="8" t="s">
        <v>81</v>
      </c>
      <c r="C136" s="6" t="s">
        <v>41</v>
      </c>
      <c r="D136" s="6"/>
      <c r="E136" s="2"/>
      <c r="F136" s="65"/>
      <c r="G136" s="65"/>
      <c r="O136" s="44"/>
    </row>
    <row r="137" spans="1:17" ht="15.6">
      <c r="A137" s="51"/>
      <c r="B137" s="27" t="s">
        <v>42</v>
      </c>
      <c r="C137" s="22">
        <f>C43</f>
        <v>0.5</v>
      </c>
      <c r="D137" s="59" t="s">
        <v>43</v>
      </c>
      <c r="E137" s="23" t="e">
        <f>IF($L$128&gt;25000,"25000",$L$128)+IF($L$129&gt;25000,"25000",$L$129)+IF($L$130&gt;25000,"25000",$L$130)+IF($L$131&gt;25000,"25000",$L$131)+$F$135-$F$128-$F$132-$F$134-$F$133</f>
        <v>#VALUE!</v>
      </c>
      <c r="F137" s="64" t="str">
        <f>IF($K$2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L$128&gt;25000,"25000",$L$128)+IF($L$129&gt;25000,"25000",$L$129)+IF($L$130&gt;25000,"25000",$L$130)+IF($L$131&gt;25000,"25000",$L$131))*$C$137),0))+(ROUND(((F129)*$C$137),0))+(ROUND(((F130)*$C$137),0))+(ROUND(((F131)*$C$137),0)))))))))))),"")</f>
        <v/>
      </c>
      <c r="G137" s="64" t="str">
        <f>IF($K$2&gt;2,((ROUND(((ROUND((G105*$E$119)+(G105),0))*$J$43),0)+(ROUND(((ROUND((G106*$E$119)+(G106),0))*$J$43),0)+(ROUND(((ROUND((G107*$E$119)+(G107),0))*$J$43),0)+(ROUND(((ROUND((G108*$E$119)+(G108),0))*$J$43),0)+(ROUND(((ROUND((G109*$E$119)+(G109),0))*$J$43),0)+(ROUND(((ROUND((G110*$E$119)+(G110),0))*$J$43),0)+(ROUND(((ROUND((G112*$E$119)+(G112),0))*$J$43),0)+(ROUND(((ROUND((G113*$E$119)+(G113),0))*$J$43),0)+(ROUND((((G121)+(G114))*$J$43),0))+(ROUND(((G115)*$J$43),0))+(ROUND(((ROUND((G116*$E$120)+(G116),0))*$J$43),0)+(ROUND(((G124)*$J$43),0))+(ROUND(((G125)*$J$43),0))+(ROUND(((G126)*$J$43),0))+(ROUND(((G129)*$J$43),0))+(ROUND(((G130)*$J$43),0))+(ROUND(((G131)*$J$43),0)))))))))))),"")</f>
        <v/>
      </c>
      <c r="H137" s="50"/>
      <c r="O137" s="44"/>
    </row>
    <row r="138" spans="1:17" ht="15.6">
      <c r="A138" s="51"/>
      <c r="B138" s="27"/>
      <c r="C138" s="66"/>
      <c r="D138" s="67" t="s">
        <v>89</v>
      </c>
      <c r="E138" s="68"/>
      <c r="F138" s="65"/>
      <c r="G138" s="64">
        <v>0</v>
      </c>
      <c r="H138" s="50"/>
      <c r="O138" s="44"/>
    </row>
    <row r="139" spans="1:17" ht="16.2" thickBot="1">
      <c r="A139" s="51"/>
      <c r="B139" s="26" t="s">
        <v>94</v>
      </c>
      <c r="C139" s="17" t="s">
        <v>32</v>
      </c>
      <c r="D139" s="18"/>
      <c r="E139" s="19"/>
      <c r="F139" s="71" t="str">
        <f>IF($K$2&gt;2,SUM(F135:F138),"")</f>
        <v/>
      </c>
      <c r="G139" s="71" t="str">
        <f>IF($K$2&gt;2,SUM(G135:G138),"")</f>
        <v/>
      </c>
      <c r="H139" s="56"/>
      <c r="I139" s="56"/>
      <c r="O139" s="44"/>
    </row>
    <row r="140" spans="1:17" ht="15.6">
      <c r="A140" s="51"/>
      <c r="B140" s="51" t="s">
        <v>95</v>
      </c>
      <c r="D140" s="2"/>
      <c r="E140" s="2"/>
      <c r="F140" s="75"/>
      <c r="G140" s="75"/>
      <c r="H140" s="75"/>
      <c r="I140" s="75"/>
      <c r="J140" s="56"/>
      <c r="K140" s="56"/>
      <c r="Q140" s="44"/>
    </row>
    <row r="141" spans="1:17" ht="15.6">
      <c r="A141" s="51"/>
      <c r="B141" s="51"/>
      <c r="C141" s="51" t="s">
        <v>96</v>
      </c>
      <c r="D141" s="2"/>
      <c r="E141" s="2"/>
      <c r="F141" s="75"/>
      <c r="G141" s="75"/>
      <c r="H141" s="75"/>
      <c r="I141" s="75"/>
      <c r="J141" s="56"/>
      <c r="K141" s="56"/>
      <c r="Q141" s="44"/>
    </row>
    <row r="142" spans="1:17" ht="15.6">
      <c r="A142" s="51"/>
      <c r="B142" s="51"/>
      <c r="C142" s="51"/>
      <c r="D142" s="2"/>
      <c r="E142" s="2"/>
      <c r="F142" s="75"/>
      <c r="G142" s="75"/>
      <c r="H142" s="75"/>
      <c r="I142" s="75"/>
      <c r="J142" s="56"/>
      <c r="K142" s="56"/>
      <c r="Q142" s="44"/>
    </row>
    <row r="143" spans="1:17" ht="16.5" customHeight="1">
      <c r="A143" s="113" t="s">
        <v>16</v>
      </c>
      <c r="B143" s="113"/>
      <c r="C143" s="113"/>
      <c r="D143" s="113"/>
      <c r="E143" s="113"/>
      <c r="F143" s="113"/>
      <c r="G143" s="113"/>
      <c r="H143" s="113"/>
      <c r="I143" s="113"/>
      <c r="J143" s="113"/>
      <c r="K143" s="113"/>
      <c r="Q143" s="44"/>
    </row>
    <row r="144" spans="1:17" ht="16.5" customHeight="1">
      <c r="A144" s="109" t="s">
        <v>20</v>
      </c>
      <c r="B144" s="109"/>
      <c r="C144" s="109"/>
      <c r="D144" s="109"/>
      <c r="E144" s="109"/>
      <c r="F144" s="109"/>
      <c r="G144" s="109"/>
      <c r="H144" s="109"/>
      <c r="I144" s="109"/>
      <c r="J144" s="109"/>
      <c r="K144" s="109"/>
      <c r="Q144" s="44"/>
    </row>
    <row r="145" spans="1:17" ht="19.5" customHeight="1">
      <c r="A145" s="109" t="s">
        <v>46</v>
      </c>
      <c r="B145" s="109"/>
      <c r="C145" s="109"/>
      <c r="D145" s="109"/>
      <c r="E145" s="109"/>
      <c r="F145" s="109"/>
      <c r="G145" s="109"/>
      <c r="H145" s="109"/>
      <c r="I145" s="109"/>
      <c r="J145" s="109"/>
      <c r="K145" s="109"/>
      <c r="Q145" s="44"/>
    </row>
    <row r="146" spans="1:17" ht="36.75" customHeight="1">
      <c r="C146" s="4" t="s">
        <v>22</v>
      </c>
      <c r="D146" s="72"/>
      <c r="E146" s="110" t="str">
        <f>IF($K$2&gt;3,E5,"")</f>
        <v/>
      </c>
      <c r="F146" s="110"/>
      <c r="G146" s="110"/>
      <c r="H146" s="110"/>
      <c r="I146" s="110"/>
      <c r="J146" s="110"/>
      <c r="Q146" s="44"/>
    </row>
    <row r="147" spans="1:17" ht="15.6">
      <c r="B147" s="4"/>
      <c r="C147" s="40" t="s">
        <v>21</v>
      </c>
      <c r="E147" s="52" t="str">
        <f>IF($K$2&gt;3,E6,"")</f>
        <v/>
      </c>
      <c r="F147" s="52"/>
      <c r="G147" s="52"/>
      <c r="H147" s="52"/>
      <c r="I147" s="52"/>
      <c r="J147" s="89"/>
      <c r="Q147" s="44"/>
    </row>
    <row r="148" spans="1:17">
      <c r="J148" s="38"/>
      <c r="O148" s="44"/>
    </row>
    <row r="149" spans="1:17" ht="13.8" thickBot="1">
      <c r="J149" s="38"/>
      <c r="O149" s="44"/>
    </row>
    <row r="150" spans="1:17" ht="16.2" thickBot="1">
      <c r="B150" s="2"/>
      <c r="C150" s="2"/>
      <c r="D150" s="2"/>
      <c r="E150" s="2"/>
      <c r="F150" s="54" t="s">
        <v>23</v>
      </c>
      <c r="G150" s="54" t="s">
        <v>88</v>
      </c>
      <c r="J150" s="46"/>
      <c r="O150" s="44"/>
    </row>
    <row r="151" spans="1:17" ht="15.6">
      <c r="B151" s="48" t="s">
        <v>0</v>
      </c>
      <c r="C151" s="55" t="s">
        <v>74</v>
      </c>
      <c r="D151" s="49"/>
      <c r="E151" s="49"/>
      <c r="F151" s="69"/>
      <c r="G151" s="69"/>
      <c r="J151" s="86"/>
      <c r="O151" s="44"/>
    </row>
    <row r="152" spans="1:17" ht="15.6">
      <c r="B152" s="8"/>
      <c r="C152" s="9" t="s">
        <v>1</v>
      </c>
      <c r="D152" s="6" t="str">
        <f>IF(D11=""," ",D11)</f>
        <v xml:space="preserve"> </v>
      </c>
      <c r="E152" s="10"/>
      <c r="F152" s="64" t="str">
        <f t="shared" ref="F152:G157" si="9">IF($K$2&gt;3,ROUND(SUM(F105+(F105*$J$10)),0),"")</f>
        <v/>
      </c>
      <c r="G152" s="64" t="str">
        <f t="shared" si="9"/>
        <v/>
      </c>
      <c r="O152" s="44"/>
    </row>
    <row r="153" spans="1:17" ht="15.6">
      <c r="B153" s="8"/>
      <c r="C153" s="9" t="s">
        <v>2</v>
      </c>
      <c r="D153" s="6" t="str">
        <f>IF(D12=""," ",D12)</f>
        <v xml:space="preserve"> </v>
      </c>
      <c r="E153" s="10"/>
      <c r="F153" s="64" t="str">
        <f t="shared" si="9"/>
        <v/>
      </c>
      <c r="G153" s="64" t="str">
        <f t="shared" si="9"/>
        <v/>
      </c>
      <c r="O153" s="44"/>
    </row>
    <row r="154" spans="1:17" ht="15.6">
      <c r="B154" s="8"/>
      <c r="C154" s="9" t="s">
        <v>3</v>
      </c>
      <c r="D154" s="6" t="str">
        <f>IF(D13=""," ",D13)</f>
        <v xml:space="preserve"> </v>
      </c>
      <c r="E154" s="10"/>
      <c r="F154" s="64" t="str">
        <f t="shared" si="9"/>
        <v/>
      </c>
      <c r="G154" s="64" t="str">
        <f t="shared" si="9"/>
        <v/>
      </c>
      <c r="O154" s="44"/>
    </row>
    <row r="155" spans="1:17" ht="15.6">
      <c r="B155" s="8"/>
      <c r="C155" s="9" t="s">
        <v>4</v>
      </c>
      <c r="D155" s="6" t="str">
        <f>IF(D14=""," ",D14)</f>
        <v xml:space="preserve"> </v>
      </c>
      <c r="E155" s="10"/>
      <c r="F155" s="64" t="str">
        <f t="shared" si="9"/>
        <v/>
      </c>
      <c r="G155" s="64" t="str">
        <f t="shared" si="9"/>
        <v/>
      </c>
      <c r="O155" s="44"/>
    </row>
    <row r="156" spans="1:17" ht="15.6">
      <c r="B156" s="8"/>
      <c r="C156" s="9" t="s">
        <v>24</v>
      </c>
      <c r="D156" s="6" t="str">
        <f>IF(D15=""," ",D15)</f>
        <v xml:space="preserve"> </v>
      </c>
      <c r="E156" s="10"/>
      <c r="F156" s="64" t="str">
        <f t="shared" si="9"/>
        <v/>
      </c>
      <c r="G156" s="64" t="str">
        <f t="shared" si="9"/>
        <v/>
      </c>
      <c r="O156" s="44"/>
    </row>
    <row r="157" spans="1:17" ht="15.6">
      <c r="B157" s="8"/>
      <c r="C157" s="9" t="s">
        <v>25</v>
      </c>
      <c r="D157" s="6" t="s">
        <v>48</v>
      </c>
      <c r="E157" s="10"/>
      <c r="F157" s="64" t="str">
        <f t="shared" si="9"/>
        <v/>
      </c>
      <c r="G157" s="64" t="str">
        <f t="shared" si="9"/>
        <v/>
      </c>
      <c r="O157" s="44"/>
    </row>
    <row r="158" spans="1:17" ht="15.6">
      <c r="B158" s="8" t="s">
        <v>33</v>
      </c>
      <c r="C158" s="52" t="s">
        <v>75</v>
      </c>
      <c r="D158" s="6"/>
      <c r="E158" s="10"/>
      <c r="F158" s="63"/>
      <c r="G158" s="63"/>
      <c r="O158" s="44"/>
    </row>
    <row r="159" spans="1:17" ht="15.6">
      <c r="B159" s="8"/>
      <c r="C159" s="61" t="s">
        <v>1</v>
      </c>
      <c r="D159" s="6" t="s">
        <v>30</v>
      </c>
      <c r="E159" s="10"/>
      <c r="F159" s="64" t="str">
        <f t="shared" ref="F159:G162" si="10">IF($K$2&gt;3,ROUND(SUM(F112+(F112*$J$10)),0),"")</f>
        <v/>
      </c>
      <c r="G159" s="64" t="str">
        <f t="shared" si="10"/>
        <v/>
      </c>
      <c r="O159" s="44"/>
    </row>
    <row r="160" spans="1:17" ht="15.6">
      <c r="B160" s="8"/>
      <c r="C160" s="9" t="s">
        <v>2</v>
      </c>
      <c r="D160" s="6" t="s">
        <v>31</v>
      </c>
      <c r="E160" s="10"/>
      <c r="F160" s="64" t="str">
        <f t="shared" si="10"/>
        <v/>
      </c>
      <c r="G160" s="64" t="str">
        <f t="shared" si="10"/>
        <v/>
      </c>
      <c r="O160" s="44"/>
    </row>
    <row r="161" spans="2:15" ht="27.6" customHeight="1">
      <c r="B161" s="8"/>
      <c r="C161" s="9" t="s">
        <v>3</v>
      </c>
      <c r="D161" s="6" t="s">
        <v>26</v>
      </c>
      <c r="E161" s="5"/>
      <c r="F161" s="64" t="str">
        <f t="shared" si="10"/>
        <v/>
      </c>
      <c r="G161" s="104" t="str">
        <f t="shared" si="10"/>
        <v/>
      </c>
      <c r="J161" s="90" t="s">
        <v>99</v>
      </c>
      <c r="K161" s="103" t="s">
        <v>113</v>
      </c>
      <c r="L161" s="92"/>
      <c r="O161" s="44"/>
    </row>
    <row r="162" spans="2:15" ht="15.6">
      <c r="B162" s="8"/>
      <c r="C162" s="9" t="s">
        <v>4</v>
      </c>
      <c r="D162" s="6" t="s">
        <v>27</v>
      </c>
      <c r="E162" s="6"/>
      <c r="F162" s="64" t="str">
        <f t="shared" si="10"/>
        <v/>
      </c>
      <c r="G162" s="64" t="str">
        <f t="shared" si="10"/>
        <v/>
      </c>
      <c r="J162" s="93" t="s">
        <v>100</v>
      </c>
      <c r="K162" s="94" t="str">
        <f>IF($K$2&gt;3,K119,"")</f>
        <v/>
      </c>
      <c r="L162" s="95" t="str">
        <f>IF($K$2&gt;3,(K162/12)*2162,"")</f>
        <v/>
      </c>
    </row>
    <row r="163" spans="2:15" ht="15.6">
      <c r="B163" s="7"/>
      <c r="C163" s="53" t="s">
        <v>24</v>
      </c>
      <c r="D163" s="5" t="s">
        <v>82</v>
      </c>
      <c r="E163" s="5"/>
      <c r="F163" s="64">
        <v>0</v>
      </c>
      <c r="G163" s="64">
        <v>0</v>
      </c>
      <c r="J163" s="93" t="s">
        <v>101</v>
      </c>
      <c r="K163" s="94" t="str">
        <f>IF($K$2&gt;3,K120,"")</f>
        <v/>
      </c>
      <c r="L163" s="95" t="str">
        <f>IF($K$2&gt;3,(K163/9)*1730,"")</f>
        <v/>
      </c>
    </row>
    <row r="164" spans="2:15" ht="15.6">
      <c r="B164" s="8" t="s">
        <v>5</v>
      </c>
      <c r="C164" s="6" t="s">
        <v>37</v>
      </c>
      <c r="D164" s="6"/>
      <c r="E164" s="5"/>
      <c r="F164" s="64" t="str">
        <f>IF($K$2&gt;3,SUM(F152:F163),"")</f>
        <v/>
      </c>
      <c r="G164" s="64" t="str">
        <f>IF($K$2&gt;3,SUM(G152:G163),"")</f>
        <v/>
      </c>
      <c r="J164" s="93" t="s">
        <v>103</v>
      </c>
      <c r="K164" s="94" t="str">
        <f>IF($K$2&gt;3,K121,"")</f>
        <v/>
      </c>
      <c r="L164" s="95" t="str">
        <f>IF($K$2&gt;3,(K164/3)*432,"")</f>
        <v/>
      </c>
    </row>
    <row r="165" spans="2:15" ht="15.6">
      <c r="B165" s="8" t="s">
        <v>6</v>
      </c>
      <c r="C165" s="6" t="s">
        <v>78</v>
      </c>
      <c r="D165" s="6"/>
      <c r="E165" s="47"/>
      <c r="F165" s="63"/>
      <c r="G165" s="63"/>
      <c r="J165" s="92"/>
      <c r="K165" s="92"/>
      <c r="L165" s="95" t="str">
        <f>IF($K$2&gt;3,SUM(L162:L164),"")</f>
        <v/>
      </c>
    </row>
    <row r="166" spans="2:15" ht="15.6">
      <c r="B166" s="8"/>
      <c r="C166" s="6" t="s">
        <v>84</v>
      </c>
      <c r="D166" s="6"/>
      <c r="E166" s="60">
        <v>0.41</v>
      </c>
      <c r="F166" s="64" t="str">
        <f>IF($K$2&gt;3,ROUND(($E$166)*SUM(F152:F160),0),"")</f>
        <v/>
      </c>
      <c r="G166" s="64" t="str">
        <f>IF($K$2&gt;3,ROUND(($E$166)*SUM(G152:G160),0),"")</f>
        <v/>
      </c>
    </row>
    <row r="167" spans="2:15" ht="15.6">
      <c r="B167" s="8"/>
      <c r="C167" s="6" t="s">
        <v>85</v>
      </c>
      <c r="D167" s="6"/>
      <c r="E167" s="57">
        <v>7.6499999999999999E-2</v>
      </c>
      <c r="F167" s="64" t="str">
        <f>IF($K$2&gt;3,ROUND($E$167*F163,0),"")</f>
        <v/>
      </c>
      <c r="G167" s="64" t="str">
        <f>IF($K$2&gt;3,ROUND($E$167*G163,0),"")</f>
        <v/>
      </c>
      <c r="L167" s="35"/>
    </row>
    <row r="168" spans="2:15" ht="15.6">
      <c r="B168" s="8"/>
      <c r="C168" s="6" t="s">
        <v>106</v>
      </c>
      <c r="D168" s="6"/>
      <c r="E168" s="57"/>
      <c r="F168" s="64" t="str">
        <f>IF($K$2&gt;3,L165,"")</f>
        <v/>
      </c>
      <c r="G168" s="64"/>
      <c r="L168" s="35" t="s">
        <v>61</v>
      </c>
    </row>
    <row r="169" spans="2:15" ht="15.6">
      <c r="B169" s="8" t="s">
        <v>7</v>
      </c>
      <c r="C169" s="6" t="s">
        <v>79</v>
      </c>
      <c r="D169" s="6"/>
      <c r="E169" s="57"/>
      <c r="F169" s="64" t="str">
        <f>IF($K$2&gt;3,SUM(F166:F168),"")</f>
        <v/>
      </c>
      <c r="G169" s="64" t="str">
        <f>IF($K$2&gt;3,SUM(G166:G168),"")</f>
        <v/>
      </c>
      <c r="J169" s="36" t="s">
        <v>55</v>
      </c>
      <c r="L169" s="35" t="s">
        <v>62</v>
      </c>
    </row>
    <row r="170" spans="2:15" ht="15.6">
      <c r="B170" s="8" t="s">
        <v>8</v>
      </c>
      <c r="C170" s="5" t="s">
        <v>38</v>
      </c>
      <c r="D170" s="6"/>
      <c r="E170" s="10"/>
      <c r="F170" s="64" t="str">
        <f>IF($K$2&gt;3,SUM(F164+F169),"")</f>
        <v/>
      </c>
      <c r="G170" s="64" t="str">
        <f>IF($K$2&gt;3,SUM(G164+G169),"")</f>
        <v/>
      </c>
      <c r="J170" s="36" t="s">
        <v>56</v>
      </c>
      <c r="K170" s="34" t="s">
        <v>59</v>
      </c>
      <c r="L170" s="35" t="s">
        <v>63</v>
      </c>
    </row>
    <row r="171" spans="2:15" ht="15.6">
      <c r="B171" s="7" t="s">
        <v>9</v>
      </c>
      <c r="C171" s="5" t="s">
        <v>28</v>
      </c>
      <c r="D171" s="6"/>
      <c r="E171" s="12"/>
      <c r="F171" s="64" t="str">
        <f t="shared" ref="F171:G173" si="11">IF($K$2&gt;3,ROUND(SUM(F124+(F124*$J$13)),0),"")</f>
        <v/>
      </c>
      <c r="G171" s="64" t="str">
        <f t="shared" si="11"/>
        <v/>
      </c>
      <c r="J171" s="28" t="str">
        <f>IF($K$2&gt;3,$J$36,"Subcontract 1:")</f>
        <v>Subcontract 1:</v>
      </c>
      <c r="K171" s="31"/>
      <c r="L171" s="37">
        <f>IF(K171+L36+L81+L128&gt;=25000,25000-(L36+L81+L128),K171)</f>
        <v>0</v>
      </c>
    </row>
    <row r="172" spans="2:15" ht="15.6">
      <c r="B172" s="13" t="s">
        <v>10</v>
      </c>
      <c r="C172" s="14" t="s">
        <v>19</v>
      </c>
      <c r="D172" s="2"/>
      <c r="E172" s="10"/>
      <c r="F172" s="64" t="str">
        <f t="shared" si="11"/>
        <v/>
      </c>
      <c r="G172" s="64" t="str">
        <f t="shared" si="11"/>
        <v/>
      </c>
      <c r="J172" s="29" t="str">
        <f>IF($K$2&gt;3,$J$37,"Subcontract 2:")</f>
        <v>Subcontract 2:</v>
      </c>
      <c r="K172" s="32"/>
      <c r="L172" s="37">
        <f>IF(K172+L37+L82+L129&gt;=25000,25000-(L37+L82+L129),K172)</f>
        <v>0</v>
      </c>
    </row>
    <row r="173" spans="2:15" ht="15.6">
      <c r="B173" s="8" t="s">
        <v>11</v>
      </c>
      <c r="C173" s="15" t="s">
        <v>34</v>
      </c>
      <c r="D173" s="6"/>
      <c r="E173" s="10"/>
      <c r="F173" s="64" t="str">
        <f t="shared" si="11"/>
        <v/>
      </c>
      <c r="G173" s="64" t="str">
        <f t="shared" si="11"/>
        <v/>
      </c>
      <c r="J173" s="29" t="str">
        <f>IF($K$2&gt;3,$J$38,"Subcontract 3:")</f>
        <v>Subcontract 3:</v>
      </c>
      <c r="K173" s="32"/>
      <c r="L173" s="37">
        <f>IF(K173+L38+L83+L130&gt;=25000,25000-(L38+L83+L130),K173)</f>
        <v>0</v>
      </c>
    </row>
    <row r="174" spans="2:15" ht="15.6">
      <c r="B174" s="8" t="s">
        <v>12</v>
      </c>
      <c r="C174" s="15" t="s">
        <v>35</v>
      </c>
      <c r="D174" s="6"/>
      <c r="E174" s="10"/>
      <c r="F174" s="65"/>
      <c r="G174" s="65"/>
      <c r="J174" s="30" t="str">
        <f>IF($K$2&gt;3,$J$39,"Subcontract 4:")</f>
        <v>Subcontract 4:</v>
      </c>
      <c r="K174" s="33"/>
      <c r="L174" s="37">
        <f>IF(K174+L39+L84+L131&gt;=25000,25000-(L39+L84+L131),K174)</f>
        <v>0</v>
      </c>
    </row>
    <row r="175" spans="2:15" ht="15.6">
      <c r="B175" s="21"/>
      <c r="C175" s="15" t="s">
        <v>39</v>
      </c>
      <c r="D175" s="6"/>
      <c r="E175" s="10"/>
      <c r="F175" s="64" t="str">
        <f>IF($K$2&gt;3,SUM(K171:K174),"")</f>
        <v/>
      </c>
      <c r="G175" s="64">
        <v>0</v>
      </c>
    </row>
    <row r="176" spans="2:15" ht="15.6">
      <c r="B176" s="8"/>
      <c r="C176" s="15" t="s">
        <v>40</v>
      </c>
      <c r="D176" s="6"/>
      <c r="E176" s="10"/>
      <c r="F176" s="64" t="str">
        <f t="shared" ref="F176:G178" si="12">IF($K$2&gt;3,ROUND(SUM(F129+(F129*$J$13)),0),"")</f>
        <v/>
      </c>
      <c r="G176" s="64" t="str">
        <f t="shared" si="12"/>
        <v/>
      </c>
    </row>
    <row r="177" spans="1:11" ht="15.6">
      <c r="B177" s="8"/>
      <c r="C177" s="15" t="s">
        <v>77</v>
      </c>
      <c r="D177" s="6"/>
      <c r="E177" s="10"/>
      <c r="F177" s="64" t="str">
        <f t="shared" si="12"/>
        <v/>
      </c>
      <c r="G177" s="64" t="str">
        <f t="shared" si="12"/>
        <v/>
      </c>
    </row>
    <row r="178" spans="1:11" ht="15.6">
      <c r="B178" s="8" t="s">
        <v>13</v>
      </c>
      <c r="C178" s="15" t="s">
        <v>36</v>
      </c>
      <c r="D178" s="6"/>
      <c r="E178" s="10"/>
      <c r="F178" s="64" t="str">
        <f t="shared" si="12"/>
        <v/>
      </c>
      <c r="G178" s="64" t="str">
        <f t="shared" si="12"/>
        <v/>
      </c>
    </row>
    <row r="179" spans="1:11" ht="15.6">
      <c r="B179" s="8" t="s">
        <v>14</v>
      </c>
      <c r="C179" s="6" t="s">
        <v>18</v>
      </c>
      <c r="D179" s="6"/>
      <c r="E179" s="10"/>
      <c r="F179" s="64">
        <v>0</v>
      </c>
      <c r="G179" s="64">
        <v>0</v>
      </c>
    </row>
    <row r="180" spans="1:11" ht="15.6">
      <c r="B180" s="8" t="s">
        <v>15</v>
      </c>
      <c r="C180" s="6" t="s">
        <v>93</v>
      </c>
      <c r="D180" s="6"/>
      <c r="E180" s="10"/>
      <c r="F180" s="64">
        <v>0</v>
      </c>
      <c r="G180" s="64">
        <v>0</v>
      </c>
    </row>
    <row r="181" spans="1:11" ht="15.6">
      <c r="B181" s="8" t="s">
        <v>76</v>
      </c>
      <c r="C181" s="52" t="s">
        <v>104</v>
      </c>
      <c r="D181" s="62"/>
      <c r="E181" s="85">
        <v>0.38</v>
      </c>
      <c r="F181" s="64" t="str">
        <f>IF($K$2&gt;3,F161*E181,"")</f>
        <v/>
      </c>
      <c r="G181" s="65"/>
    </row>
    <row r="182" spans="1:11" ht="15.6">
      <c r="B182" s="11" t="s">
        <v>80</v>
      </c>
      <c r="C182" s="2" t="s">
        <v>29</v>
      </c>
      <c r="D182" s="2"/>
      <c r="E182" s="16"/>
      <c r="F182" s="64" t="str">
        <f>IF($K$2&gt;3,SUM(F170:F181),"")</f>
        <v/>
      </c>
      <c r="G182" s="64" t="str">
        <f>IF($K$2&gt;3,SUM(G170:G181),"")</f>
        <v/>
      </c>
    </row>
    <row r="183" spans="1:11" ht="15.6">
      <c r="B183" s="8" t="s">
        <v>81</v>
      </c>
      <c r="C183" s="6" t="s">
        <v>41</v>
      </c>
      <c r="D183" s="6"/>
      <c r="E183" s="2"/>
      <c r="F183" s="65"/>
      <c r="G183" s="65"/>
      <c r="H183" s="50"/>
    </row>
    <row r="184" spans="1:11" ht="15.6">
      <c r="A184" s="51"/>
      <c r="B184" s="27" t="s">
        <v>42</v>
      </c>
      <c r="C184" s="22">
        <f>C43</f>
        <v>0.5</v>
      </c>
      <c r="D184" s="59" t="s">
        <v>43</v>
      </c>
      <c r="E184" s="23" t="str">
        <f>IF($K$2&gt;3,(IF($L$171&gt;25000,"25000",$L$171)+IF($L$172&gt;25000,"25000",$L$172)+IF($L$173&gt;25000,"25000",$L$173)+IF($L$174&gt;25000,"25000",$L$174)+$F$182-$F$175-$F$179-$F$181-$F$180),"")</f>
        <v/>
      </c>
      <c r="F184" s="64" t="str">
        <f>IF($K$2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L$171&gt;25000,"25000",$L$171)+IF($L$172&gt;25000,"25000",$L$172)+IF($L$173&gt;25000,"25000",$L$173)+IF($L$174&gt;25000,"25000",$L$174))*$C$184),0))+(ROUND(((F176)*$C$184),0))+(ROUND(((F177)*$C$184),0))+(ROUND(((F178)*$C$184),0)))))))))))),"")</f>
        <v/>
      </c>
      <c r="G184" s="64" t="str">
        <f>IF($K$2&gt;3,((ROUND(((ROUND((G152*$E$166)+(G152),0))*$J$43),0)+(ROUND(((ROUND((G153*$E$166)+(G153),0))*$J$43),0)+(ROUND(((ROUND((G154*$E$166)+(G154),0))*$J$43),0)+(ROUND(((ROUND((G155*$E$166)+(G155),0))*$J$43),0)+(ROUND(((ROUND((G156*$E$166)+(G156),0))*$J$43),0)+(ROUND(((ROUND((G157*$E$166)+(G157),0))*$J$43),0)+(ROUND(((ROUND((G159*$E$166)+(G159),0))*$J$43),0)+(ROUND(((ROUND((G160*$E$166)+(G160),0))*$J$43),0)+(ROUND((((G168)+(G161))*$J$43),0))+(ROUND(((G162)*$J$43),0))+(ROUND(((ROUND((G163*$E$167)+(G163),0))*$J$43),0)+(ROUND(((G171)*$J$43),0))+(ROUND(((G172)*$J$43),0))+(ROUND(((G173)*$J$43),0))+(ROUND(((G176)*$J$43),0))+(ROUND(((G177)*$J$43),0))+(ROUND(((G178)*$J$43),0)))))))))))),"")</f>
        <v/>
      </c>
      <c r="H184" s="50"/>
    </row>
    <row r="185" spans="1:11" ht="15.6">
      <c r="A185" s="51"/>
      <c r="B185" s="27"/>
      <c r="C185" s="66"/>
      <c r="D185" s="67" t="s">
        <v>89</v>
      </c>
      <c r="E185" s="68"/>
      <c r="F185" s="65"/>
      <c r="G185" s="64">
        <v>0</v>
      </c>
      <c r="H185" s="56"/>
      <c r="I185" s="56"/>
    </row>
    <row r="186" spans="1:11" ht="16.2" thickBot="1">
      <c r="A186" s="51"/>
      <c r="B186" s="26" t="s">
        <v>94</v>
      </c>
      <c r="C186" s="17" t="s">
        <v>32</v>
      </c>
      <c r="D186" s="18"/>
      <c r="E186" s="19"/>
      <c r="F186" s="71" t="str">
        <f>IF($K$2&gt;3,SUM(F182:F185),"")</f>
        <v/>
      </c>
      <c r="G186" s="71" t="str">
        <f>IF($K$2&gt;3,SUM(G182:G185),"")</f>
        <v/>
      </c>
      <c r="H186" s="88"/>
      <c r="I186" s="88"/>
    </row>
    <row r="187" spans="1:11" ht="15.6">
      <c r="A187" s="51"/>
      <c r="B187" s="51" t="s">
        <v>95</v>
      </c>
      <c r="D187" s="2"/>
      <c r="E187" s="2"/>
      <c r="F187" s="2"/>
      <c r="G187" s="2"/>
      <c r="H187" s="2"/>
      <c r="I187" s="2"/>
      <c r="J187" s="88"/>
      <c r="K187" s="88"/>
    </row>
    <row r="188" spans="1:11" ht="16.5" customHeight="1">
      <c r="A188" s="51"/>
      <c r="B188" s="51"/>
      <c r="C188" s="51" t="s">
        <v>96</v>
      </c>
      <c r="D188" s="2"/>
      <c r="E188" s="2"/>
      <c r="F188" s="2"/>
      <c r="G188" s="2"/>
      <c r="H188" s="2"/>
      <c r="I188" s="2"/>
      <c r="J188" s="72"/>
      <c r="K188" s="72"/>
    </row>
    <row r="189" spans="1:11" ht="16.5" customHeight="1">
      <c r="A189" s="51"/>
      <c r="B189" s="51"/>
      <c r="C189" s="51"/>
      <c r="D189" s="2"/>
      <c r="E189" s="2"/>
      <c r="F189" s="2"/>
      <c r="G189" s="2"/>
      <c r="H189" s="2"/>
      <c r="I189" s="2"/>
      <c r="J189" s="72"/>
      <c r="K189" s="72"/>
    </row>
    <row r="190" spans="1:11" ht="15.6">
      <c r="A190" s="111" t="s">
        <v>16</v>
      </c>
      <c r="B190" s="111"/>
      <c r="C190" s="111"/>
      <c r="D190" s="111"/>
      <c r="E190" s="111"/>
      <c r="F190" s="111"/>
      <c r="G190" s="111"/>
      <c r="H190" s="111"/>
      <c r="I190" s="111"/>
      <c r="J190" s="111"/>
      <c r="K190" s="111"/>
    </row>
    <row r="191" spans="1:11" ht="15.6">
      <c r="A191" s="109" t="s">
        <v>20</v>
      </c>
      <c r="B191" s="109"/>
      <c r="C191" s="109"/>
      <c r="D191" s="109"/>
      <c r="E191" s="109"/>
      <c r="F191" s="109"/>
      <c r="G191" s="109"/>
      <c r="H191" s="109"/>
      <c r="I191" s="109"/>
      <c r="J191" s="109"/>
      <c r="K191" s="109"/>
    </row>
    <row r="192" spans="1:11" ht="15.6">
      <c r="A192" s="109" t="s">
        <v>47</v>
      </c>
      <c r="B192" s="109"/>
      <c r="C192" s="109"/>
      <c r="D192" s="109"/>
      <c r="E192" s="109"/>
      <c r="F192" s="109"/>
      <c r="G192" s="109"/>
      <c r="H192" s="109"/>
      <c r="I192" s="109"/>
      <c r="J192" s="109"/>
      <c r="K192" s="109"/>
    </row>
    <row r="193" spans="2:12" ht="36.75" customHeight="1">
      <c r="C193" s="4" t="s">
        <v>22</v>
      </c>
      <c r="D193" s="72"/>
      <c r="E193" s="110" t="str">
        <f>IF($K$2&gt;4,E5,"")</f>
        <v/>
      </c>
      <c r="F193" s="110"/>
      <c r="G193" s="110"/>
      <c r="H193" s="110"/>
      <c r="I193" s="110"/>
      <c r="J193" s="110"/>
    </row>
    <row r="194" spans="2:12" ht="15.6">
      <c r="B194" s="4"/>
      <c r="C194" s="40" t="s">
        <v>21</v>
      </c>
      <c r="E194" s="52" t="str">
        <f>IF($K$2&gt;4,E6,"")</f>
        <v/>
      </c>
      <c r="F194" s="52"/>
      <c r="G194" s="52"/>
      <c r="H194" s="52"/>
      <c r="I194" s="52"/>
      <c r="J194" s="89"/>
      <c r="L194" s="38"/>
    </row>
    <row r="195" spans="2:12">
      <c r="L195" s="46"/>
    </row>
    <row r="196" spans="2:12" ht="13.8" thickBot="1">
      <c r="J196" s="38"/>
      <c r="L196" s="38"/>
    </row>
    <row r="197" spans="2:12" ht="16.2" thickBot="1">
      <c r="B197" s="2"/>
      <c r="C197" s="2"/>
      <c r="D197" s="2"/>
      <c r="E197" s="2"/>
      <c r="F197" s="54" t="s">
        <v>23</v>
      </c>
      <c r="G197" s="54" t="s">
        <v>88</v>
      </c>
      <c r="J197" s="46"/>
    </row>
    <row r="198" spans="2:12" ht="15.6">
      <c r="B198" s="48" t="s">
        <v>0</v>
      </c>
      <c r="C198" s="55" t="s">
        <v>74</v>
      </c>
      <c r="D198" s="49"/>
      <c r="E198" s="49"/>
      <c r="F198" s="69"/>
      <c r="G198" s="69"/>
    </row>
    <row r="199" spans="2:12" ht="15.6">
      <c r="B199" s="8"/>
      <c r="C199" s="9" t="s">
        <v>1</v>
      </c>
      <c r="D199" s="6" t="str">
        <f>IF(D11=""," ",D11)</f>
        <v xml:space="preserve"> </v>
      </c>
      <c r="E199" s="10"/>
      <c r="F199" s="64" t="str">
        <f t="shared" ref="F199:G204" si="13">IF($K$2&gt;4,ROUND(SUM(F152+(F152*$J$10)),0),"")</f>
        <v/>
      </c>
      <c r="G199" s="64" t="str">
        <f t="shared" si="13"/>
        <v/>
      </c>
    </row>
    <row r="200" spans="2:12" ht="15.6">
      <c r="B200" s="8"/>
      <c r="C200" s="9" t="s">
        <v>2</v>
      </c>
      <c r="D200" s="6" t="str">
        <f>IF(D12=""," ",D12)</f>
        <v xml:space="preserve"> </v>
      </c>
      <c r="E200" s="10"/>
      <c r="F200" s="64" t="str">
        <f t="shared" si="13"/>
        <v/>
      </c>
      <c r="G200" s="64" t="str">
        <f t="shared" si="13"/>
        <v/>
      </c>
    </row>
    <row r="201" spans="2:12" ht="15.6">
      <c r="B201" s="8"/>
      <c r="C201" s="9" t="s">
        <v>3</v>
      </c>
      <c r="D201" s="6" t="str">
        <f>IF(D13=""," ",D13)</f>
        <v xml:space="preserve"> </v>
      </c>
      <c r="E201" s="10"/>
      <c r="F201" s="64" t="str">
        <f t="shared" si="13"/>
        <v/>
      </c>
      <c r="G201" s="64" t="str">
        <f t="shared" si="13"/>
        <v/>
      </c>
    </row>
    <row r="202" spans="2:12" ht="15.6">
      <c r="B202" s="8"/>
      <c r="C202" s="9" t="s">
        <v>4</v>
      </c>
      <c r="D202" s="6" t="str">
        <f>IF(D14=""," ",D14)</f>
        <v xml:space="preserve"> </v>
      </c>
      <c r="E202" s="10"/>
      <c r="F202" s="64" t="str">
        <f t="shared" si="13"/>
        <v/>
      </c>
      <c r="G202" s="64" t="str">
        <f t="shared" si="13"/>
        <v/>
      </c>
    </row>
    <row r="203" spans="2:12" ht="15.6">
      <c r="B203" s="8"/>
      <c r="C203" s="9" t="s">
        <v>24</v>
      </c>
      <c r="D203" s="6" t="str">
        <f>IF(D15=""," ",D15)</f>
        <v xml:space="preserve"> </v>
      </c>
      <c r="E203" s="10"/>
      <c r="F203" s="64" t="str">
        <f t="shared" si="13"/>
        <v/>
      </c>
      <c r="G203" s="64" t="str">
        <f t="shared" si="13"/>
        <v/>
      </c>
    </row>
    <row r="204" spans="2:12" ht="15.6">
      <c r="B204" s="8"/>
      <c r="C204" s="9" t="s">
        <v>25</v>
      </c>
      <c r="D204" s="6" t="s">
        <v>48</v>
      </c>
      <c r="E204" s="10"/>
      <c r="F204" s="64" t="str">
        <f t="shared" si="13"/>
        <v/>
      </c>
      <c r="G204" s="64" t="str">
        <f t="shared" si="13"/>
        <v/>
      </c>
    </row>
    <row r="205" spans="2:12" ht="15.6">
      <c r="B205" s="8" t="s">
        <v>33</v>
      </c>
      <c r="C205" s="52" t="s">
        <v>75</v>
      </c>
      <c r="D205" s="6"/>
      <c r="E205" s="10"/>
      <c r="F205" s="63"/>
      <c r="G205" s="63"/>
    </row>
    <row r="206" spans="2:12" ht="15.6">
      <c r="B206" s="8"/>
      <c r="C206" s="61" t="s">
        <v>1</v>
      </c>
      <c r="D206" s="6" t="s">
        <v>30</v>
      </c>
      <c r="E206" s="10"/>
      <c r="F206" s="64" t="str">
        <f t="shared" ref="F206:G209" si="14">IF($K$2&gt;4,ROUND(SUM(F159+(F159*$J$10)),0),"")</f>
        <v/>
      </c>
      <c r="G206" s="64" t="str">
        <f t="shared" si="14"/>
        <v/>
      </c>
    </row>
    <row r="207" spans="2:12" ht="15.6">
      <c r="B207" s="8"/>
      <c r="C207" s="9" t="s">
        <v>2</v>
      </c>
      <c r="D207" s="6" t="s">
        <v>31</v>
      </c>
      <c r="E207" s="10"/>
      <c r="F207" s="64" t="str">
        <f t="shared" si="14"/>
        <v/>
      </c>
      <c r="G207" s="64" t="str">
        <f t="shared" si="14"/>
        <v/>
      </c>
    </row>
    <row r="208" spans="2:12" ht="15.6">
      <c r="B208" s="8"/>
      <c r="C208" s="9" t="s">
        <v>3</v>
      </c>
      <c r="D208" s="6" t="s">
        <v>26</v>
      </c>
      <c r="E208" s="5"/>
      <c r="F208" s="64" t="str">
        <f t="shared" si="14"/>
        <v/>
      </c>
      <c r="G208" s="104" t="str">
        <f t="shared" si="14"/>
        <v/>
      </c>
    </row>
    <row r="209" spans="2:12" ht="15.6">
      <c r="B209" s="8"/>
      <c r="C209" s="9" t="s">
        <v>4</v>
      </c>
      <c r="D209" s="6" t="s">
        <v>27</v>
      </c>
      <c r="E209" s="6"/>
      <c r="F209" s="64" t="str">
        <f t="shared" si="14"/>
        <v/>
      </c>
      <c r="G209" s="64" t="str">
        <f t="shared" si="14"/>
        <v/>
      </c>
    </row>
    <row r="210" spans="2:12" ht="26.4" customHeight="1">
      <c r="B210" s="7"/>
      <c r="C210" s="53" t="s">
        <v>24</v>
      </c>
      <c r="D210" s="5" t="s">
        <v>82</v>
      </c>
      <c r="E210" s="5"/>
      <c r="F210" s="64">
        <v>0</v>
      </c>
      <c r="G210" s="64">
        <v>0</v>
      </c>
      <c r="J210" s="90" t="s">
        <v>99</v>
      </c>
      <c r="K210" s="103" t="s">
        <v>113</v>
      </c>
      <c r="L210" s="92"/>
    </row>
    <row r="211" spans="2:12" ht="15.6">
      <c r="B211" s="8" t="s">
        <v>5</v>
      </c>
      <c r="C211" s="6" t="s">
        <v>37</v>
      </c>
      <c r="D211" s="6"/>
      <c r="E211" s="5"/>
      <c r="F211" s="64" t="str">
        <f>IF($K$2&gt;4,SUM(F199:F210),"")</f>
        <v/>
      </c>
      <c r="G211" s="64" t="str">
        <f>IF($K$2&gt;4,SUM(G199:G210),"")</f>
        <v/>
      </c>
      <c r="J211" s="93" t="s">
        <v>100</v>
      </c>
      <c r="K211" s="94" t="str">
        <f>IF($K$2&gt;4,K162,"")</f>
        <v/>
      </c>
      <c r="L211" s="95" t="str">
        <f>IF($K$2&gt;4,(K211/12)*2162,"")</f>
        <v/>
      </c>
    </row>
    <row r="212" spans="2:12" ht="15.6">
      <c r="B212" s="8" t="s">
        <v>6</v>
      </c>
      <c r="C212" s="6" t="s">
        <v>78</v>
      </c>
      <c r="D212" s="6"/>
      <c r="E212" s="47"/>
      <c r="F212" s="63"/>
      <c r="G212" s="63"/>
      <c r="J212" s="93" t="s">
        <v>101</v>
      </c>
      <c r="K212" s="94" t="str">
        <f>IF($K$2&gt;4,K163,"")</f>
        <v/>
      </c>
      <c r="L212" s="95" t="str">
        <f>IF($K$2&gt;4,(K212/9)*1730,"")</f>
        <v/>
      </c>
    </row>
    <row r="213" spans="2:12" ht="15.6">
      <c r="B213" s="8"/>
      <c r="C213" s="6" t="s">
        <v>84</v>
      </c>
      <c r="D213" s="6"/>
      <c r="E213" s="60">
        <v>0.41</v>
      </c>
      <c r="F213" s="64" t="str">
        <f>IF($K$2&gt;4,ROUND(($E$213)*SUM(F199:F207),0),"")</f>
        <v/>
      </c>
      <c r="G213" s="64" t="str">
        <f>IF($K$2&gt;4,ROUND(($E$213)*SUM(G199:G207),0),"")</f>
        <v/>
      </c>
      <c r="J213" s="93" t="s">
        <v>103</v>
      </c>
      <c r="K213" s="94" t="str">
        <f>IF($K$2&gt;4,K164,"")</f>
        <v/>
      </c>
      <c r="L213" s="95" t="str">
        <f>IF($K$2&gt;4,(K213/3)*432,"")</f>
        <v/>
      </c>
    </row>
    <row r="214" spans="2:12" ht="15.6">
      <c r="B214" s="8"/>
      <c r="C214" s="6" t="s">
        <v>85</v>
      </c>
      <c r="D214" s="6"/>
      <c r="E214" s="57">
        <v>7.6499999999999999E-2</v>
      </c>
      <c r="F214" s="64" t="str">
        <f>IF($K$2&gt;4,ROUND($E$214*F210,0),"")</f>
        <v/>
      </c>
      <c r="G214" s="64" t="str">
        <f>IF($K$2&gt;4,ROUND($E$214*G210,0),"")</f>
        <v/>
      </c>
      <c r="J214" s="92"/>
      <c r="K214" s="92"/>
      <c r="L214" s="95" t="str">
        <f>IF($K$2&gt;4,SUM(L211:L213),"")</f>
        <v/>
      </c>
    </row>
    <row r="215" spans="2:12" ht="15.6">
      <c r="B215" s="8"/>
      <c r="C215" s="6" t="s">
        <v>105</v>
      </c>
      <c r="D215" s="6"/>
      <c r="E215" s="57"/>
      <c r="F215" s="64" t="str">
        <f>L214</f>
        <v/>
      </c>
      <c r="G215" s="64">
        <v>0</v>
      </c>
    </row>
    <row r="216" spans="2:12" ht="15.6">
      <c r="B216" s="8" t="s">
        <v>7</v>
      </c>
      <c r="C216" s="6" t="s">
        <v>79</v>
      </c>
      <c r="D216" s="6"/>
      <c r="E216" s="57"/>
      <c r="F216" s="64" t="str">
        <f>IF($K$2&gt;4,SUM(F213:F215),"")</f>
        <v/>
      </c>
      <c r="G216" s="64" t="str">
        <f t="shared" ref="G216" si="15">IF($K$2&gt;4,SUM(G213:G215),"")</f>
        <v/>
      </c>
      <c r="L216" s="35" t="s">
        <v>61</v>
      </c>
    </row>
    <row r="217" spans="2:12" ht="15.6">
      <c r="B217" s="8" t="s">
        <v>8</v>
      </c>
      <c r="C217" s="5" t="s">
        <v>38</v>
      </c>
      <c r="D217" s="6"/>
      <c r="E217" s="10"/>
      <c r="F217" s="64" t="str">
        <f>IF($K$2&gt;4,SUM(F211+F216),"")</f>
        <v/>
      </c>
      <c r="G217" s="64" t="str">
        <f t="shared" ref="G217" si="16">IF($K$2&gt;4,SUM(G211+G216),"")</f>
        <v/>
      </c>
      <c r="J217" s="36" t="s">
        <v>55</v>
      </c>
      <c r="L217" s="35" t="s">
        <v>62</v>
      </c>
    </row>
    <row r="218" spans="2:12" ht="15.6">
      <c r="B218" s="7" t="s">
        <v>9</v>
      </c>
      <c r="C218" s="5" t="s">
        <v>28</v>
      </c>
      <c r="D218" s="6"/>
      <c r="E218" s="12"/>
      <c r="F218" s="64" t="str">
        <f t="shared" ref="F218:G220" si="17">IF($K$2&gt;4,ROUND(SUM(F171+(F171*$J$13)),0),"")</f>
        <v/>
      </c>
      <c r="G218" s="64" t="str">
        <f t="shared" si="17"/>
        <v/>
      </c>
      <c r="J218" s="36" t="s">
        <v>56</v>
      </c>
      <c r="K218" s="34" t="s">
        <v>60</v>
      </c>
      <c r="L218" s="35" t="s">
        <v>63</v>
      </c>
    </row>
    <row r="219" spans="2:12" ht="15.6">
      <c r="B219" s="13" t="s">
        <v>10</v>
      </c>
      <c r="C219" s="14" t="s">
        <v>19</v>
      </c>
      <c r="D219" s="2"/>
      <c r="E219" s="10"/>
      <c r="F219" s="64" t="str">
        <f t="shared" si="17"/>
        <v/>
      </c>
      <c r="G219" s="64" t="str">
        <f t="shared" si="17"/>
        <v/>
      </c>
      <c r="J219" s="28" t="str">
        <f>IF($K$2&gt;4,$J$36,"Subcontract 1:")</f>
        <v>Subcontract 1:</v>
      </c>
      <c r="K219" s="31"/>
      <c r="L219" s="37">
        <f>IF(K219+L36+L81+L128+L171&gt;=25000,25000-(L36+L81+L128+L171),K219)</f>
        <v>0</v>
      </c>
    </row>
    <row r="220" spans="2:12" ht="15.6">
      <c r="B220" s="8" t="s">
        <v>11</v>
      </c>
      <c r="C220" s="15" t="s">
        <v>34</v>
      </c>
      <c r="D220" s="6"/>
      <c r="E220" s="10"/>
      <c r="F220" s="64" t="str">
        <f t="shared" si="17"/>
        <v/>
      </c>
      <c r="G220" s="64" t="str">
        <f t="shared" si="17"/>
        <v/>
      </c>
      <c r="J220" s="29" t="str">
        <f>IF($K$2&gt;4,$J$37,"Subcontract 2:")</f>
        <v>Subcontract 2:</v>
      </c>
      <c r="K220" s="32"/>
      <c r="L220" s="37">
        <f>IF(K220+L37+L82+L129+L172&gt;=25000,25000-(L37+L82+L129+L172),K220)</f>
        <v>0</v>
      </c>
    </row>
    <row r="221" spans="2:12" ht="15.6">
      <c r="B221" s="8" t="s">
        <v>12</v>
      </c>
      <c r="C221" s="15" t="s">
        <v>35</v>
      </c>
      <c r="D221" s="6"/>
      <c r="E221" s="10"/>
      <c r="F221" s="65"/>
      <c r="G221" s="65"/>
      <c r="J221" s="29" t="str">
        <f>IF($K$2&gt;4,$J$38,"Subcontract 3:")</f>
        <v>Subcontract 3:</v>
      </c>
      <c r="K221" s="32"/>
      <c r="L221" s="37">
        <f>IF(K221+L38+L83+L130+L173&gt;=25000,25000-(L38+L83+L130+L173),K221)</f>
        <v>0</v>
      </c>
    </row>
    <row r="222" spans="2:12" ht="15.6">
      <c r="B222" s="21"/>
      <c r="C222" s="15" t="s">
        <v>39</v>
      </c>
      <c r="D222" s="6"/>
      <c r="E222" s="10"/>
      <c r="F222" s="64" t="str">
        <f>IF($K$2&gt;4,SUM(K219:K222),"")</f>
        <v/>
      </c>
      <c r="G222" s="64">
        <v>0</v>
      </c>
      <c r="J222" s="30" t="str">
        <f>IF($K$2&gt;4,$J$39,"Subcontract 4:")</f>
        <v>Subcontract 4:</v>
      </c>
      <c r="K222" s="33"/>
      <c r="L222" s="37">
        <f>IF(K222+L39+L84+L131+L174&gt;=25000,25000-(L39+L84+L131+L174),K222)</f>
        <v>0</v>
      </c>
    </row>
    <row r="223" spans="2:12" ht="15.6">
      <c r="B223" s="8"/>
      <c r="C223" s="15" t="s">
        <v>40</v>
      </c>
      <c r="D223" s="6"/>
      <c r="E223" s="10"/>
      <c r="F223" s="64" t="str">
        <f t="shared" ref="F223:G225" si="18">IF($K$2&gt;4,ROUND(SUM(F176+(F176*$J$13)),0),"")</f>
        <v/>
      </c>
      <c r="G223" s="64" t="str">
        <f t="shared" si="18"/>
        <v/>
      </c>
    </row>
    <row r="224" spans="2:12" ht="15.6">
      <c r="B224" s="8"/>
      <c r="C224" s="15" t="s">
        <v>77</v>
      </c>
      <c r="D224" s="6"/>
      <c r="E224" s="10"/>
      <c r="F224" s="64" t="str">
        <f t="shared" si="18"/>
        <v/>
      </c>
      <c r="G224" s="64" t="str">
        <f t="shared" si="18"/>
        <v/>
      </c>
    </row>
    <row r="225" spans="1:11" ht="15.6">
      <c r="B225" s="8" t="s">
        <v>13</v>
      </c>
      <c r="C225" s="15" t="s">
        <v>36</v>
      </c>
      <c r="D225" s="6"/>
      <c r="E225" s="10"/>
      <c r="F225" s="64" t="str">
        <f t="shared" si="18"/>
        <v/>
      </c>
      <c r="G225" s="64" t="str">
        <f t="shared" si="18"/>
        <v/>
      </c>
    </row>
    <row r="226" spans="1:11" ht="15.6">
      <c r="B226" s="8" t="s">
        <v>14</v>
      </c>
      <c r="C226" s="6" t="s">
        <v>18</v>
      </c>
      <c r="D226" s="6"/>
      <c r="E226" s="10"/>
      <c r="F226" s="64">
        <v>0</v>
      </c>
      <c r="G226" s="64">
        <v>0</v>
      </c>
    </row>
    <row r="227" spans="1:11" ht="15.6">
      <c r="B227" s="8" t="s">
        <v>15</v>
      </c>
      <c r="C227" s="6" t="s">
        <v>107</v>
      </c>
      <c r="D227" s="6"/>
      <c r="E227" s="10"/>
      <c r="F227" s="64">
        <v>0</v>
      </c>
      <c r="G227" s="64">
        <v>0</v>
      </c>
    </row>
    <row r="228" spans="1:11" ht="15.6">
      <c r="B228" s="8" t="s">
        <v>76</v>
      </c>
      <c r="C228" s="52" t="s">
        <v>104</v>
      </c>
      <c r="D228" s="62"/>
      <c r="E228" s="85">
        <v>0.38</v>
      </c>
      <c r="F228" s="64" t="str">
        <f>IF($K$2&gt;4,F208*E228,"")</f>
        <v/>
      </c>
      <c r="G228" s="65"/>
    </row>
    <row r="229" spans="1:11" ht="15.6">
      <c r="B229" s="11" t="s">
        <v>80</v>
      </c>
      <c r="C229" s="2" t="s">
        <v>29</v>
      </c>
      <c r="D229" s="2"/>
      <c r="E229" s="16"/>
      <c r="F229" s="64" t="str">
        <f>IF($K$2&gt;4,SUM(F217:F228),"")</f>
        <v/>
      </c>
      <c r="G229" s="64" t="str">
        <f t="shared" ref="G229" si="19">IF($K$2&gt;4,SUM(G217:G228),"")</f>
        <v/>
      </c>
      <c r="H229" s="50"/>
    </row>
    <row r="230" spans="1:11" ht="15.6">
      <c r="B230" s="8" t="s">
        <v>81</v>
      </c>
      <c r="C230" s="6" t="s">
        <v>41</v>
      </c>
      <c r="D230" s="6"/>
      <c r="E230" s="2"/>
      <c r="F230" s="65"/>
      <c r="G230" s="65"/>
      <c r="H230" s="50"/>
    </row>
    <row r="231" spans="1:11" ht="15.6">
      <c r="B231" s="27" t="s">
        <v>42</v>
      </c>
      <c r="C231" s="22">
        <f>C43</f>
        <v>0.5</v>
      </c>
      <c r="D231" s="59" t="s">
        <v>43</v>
      </c>
      <c r="E231" s="23" t="str">
        <f>IF($K$2&gt;4,(IF($L$219&gt;25000,"25000",$L$219)+IF($L$220&gt;25000,"25000",$L$220)+IF($L$221&gt;25000,"25000",$L$221)+IF($L$222&gt;25000,"25000",$L$222)+$F$229-$F$222-$F$226-$F$228-$F$227),"")</f>
        <v/>
      </c>
      <c r="F231" s="64" t="str">
        <f>IF($K$2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L$219&gt;25000,"25000",$L$219)+IF($L$220&gt;25000,"25000",$L$220)+IF($L$221&gt;25000,"25000",$L$221)+IF($L$222&gt;25000,"25000",$L$222))*$C$231),0))+(ROUND(((F223)*$C$231),0))+(ROUND(((F224)*$C$231),0))+(ROUND(((F225)*$C$231),0)))))))))))),"")</f>
        <v/>
      </c>
      <c r="G231" s="64" t="str">
        <f>IF($K$2&gt;4,((ROUND(((ROUND((G199*$E$213)+(G199),0))*$J$43),0)+(ROUND(((ROUND((G200*$E$213)+(G200),0))*$J$43),0)+(ROUND(((ROUND((G201*$E$213)+(G201),0))*$J$43),0)+(ROUND(((ROUND((G202*$E$213)+(G202),0))*$J$43),0)+(ROUND(((ROUND((G203*$E$213)+(G203),0))*$J$43),0)+(ROUND(((ROUND((G204*$E$213)+(G204),0))*$J$43),0)+(ROUND(((ROUND((G206*$E$213)+(G206),0))*$J$43),0)+(ROUND(((ROUND((G207*$E$213)+(G207),0))*$J$43),0)+(ROUND((((G215)+(G208))*$J$43),0))+(ROUND(((G209)*$J$43),0))+(ROUND(((ROUND((G210*$E$214)+(G210),0))*$J$43),0)+(ROUND(((G218)*$J$43),0))+(ROUND(((G219)*$J$43),0))+(ROUND(((G220)*$J$43),0))+(ROUND(((G223)*$J$43),0))+(ROUND(((G224)*$J$43),0))+(ROUND(((G225)*$J$43),0)))))))))))),"")</f>
        <v/>
      </c>
      <c r="H231" s="56"/>
      <c r="I231" s="56"/>
    </row>
    <row r="232" spans="1:11" ht="15.6">
      <c r="B232" s="27"/>
      <c r="C232" s="66"/>
      <c r="D232" s="67" t="s">
        <v>89</v>
      </c>
      <c r="E232" s="68"/>
      <c r="F232" s="65"/>
      <c r="G232" s="64">
        <v>0</v>
      </c>
      <c r="H232" s="88"/>
      <c r="I232" s="88"/>
    </row>
    <row r="233" spans="1:11" ht="16.2" thickBot="1">
      <c r="A233" s="51"/>
      <c r="B233" s="26" t="s">
        <v>94</v>
      </c>
      <c r="C233" s="17" t="s">
        <v>32</v>
      </c>
      <c r="D233" s="18"/>
      <c r="E233" s="19"/>
      <c r="F233" s="71" t="str">
        <f>IF($K$2&gt;4,SUM(F229:F232),"")</f>
        <v/>
      </c>
      <c r="G233" s="71" t="str">
        <f t="shared" ref="G233" si="20">IF($K$2&gt;4,SUM(G229:G232),"")</f>
        <v/>
      </c>
      <c r="H233" s="88"/>
      <c r="I233" s="88"/>
    </row>
    <row r="234" spans="1:11" ht="15.75" customHeight="1">
      <c r="A234" s="51"/>
      <c r="B234" s="51" t="s">
        <v>95</v>
      </c>
      <c r="D234" s="2"/>
      <c r="E234" s="2"/>
      <c r="F234" s="2"/>
      <c r="G234" s="2"/>
      <c r="H234" s="2"/>
      <c r="I234" s="2"/>
      <c r="J234" s="72"/>
      <c r="K234" s="72"/>
    </row>
    <row r="235" spans="1:11" ht="15.6">
      <c r="A235" s="51"/>
      <c r="B235" s="51"/>
      <c r="C235" s="51" t="s">
        <v>96</v>
      </c>
      <c r="D235" s="2"/>
      <c r="E235" s="2"/>
      <c r="F235" s="2"/>
      <c r="G235" s="2"/>
      <c r="H235" s="2"/>
      <c r="I235" s="2"/>
      <c r="J235" s="56"/>
      <c r="K235" s="20"/>
    </row>
    <row r="236" spans="1:11" ht="15.6">
      <c r="A236" s="51"/>
      <c r="B236" s="51"/>
      <c r="C236" s="51"/>
      <c r="D236" s="2"/>
      <c r="E236" s="2"/>
      <c r="F236" s="2"/>
      <c r="G236" s="2"/>
      <c r="H236" s="2"/>
      <c r="I236" s="2"/>
      <c r="J236" s="56"/>
      <c r="K236" s="20"/>
    </row>
    <row r="237" spans="1:11" ht="15.6">
      <c r="A237" s="111" t="s">
        <v>16</v>
      </c>
      <c r="B237" s="111"/>
      <c r="C237" s="111"/>
      <c r="D237" s="111"/>
      <c r="E237" s="111"/>
      <c r="F237" s="111"/>
      <c r="G237" s="111"/>
      <c r="H237" s="111"/>
      <c r="I237" s="111"/>
      <c r="J237" s="111"/>
      <c r="K237" s="111"/>
    </row>
    <row r="238" spans="1:11" ht="15.6">
      <c r="A238" s="109" t="s">
        <v>20</v>
      </c>
      <c r="B238" s="109"/>
      <c r="C238" s="109"/>
      <c r="D238" s="109"/>
      <c r="E238" s="109"/>
      <c r="F238" s="109"/>
      <c r="G238" s="109"/>
      <c r="H238" s="109"/>
      <c r="I238" s="109"/>
      <c r="J238" s="109"/>
      <c r="K238" s="109"/>
    </row>
    <row r="239" spans="1:11" ht="17.25" customHeight="1">
      <c r="A239" s="109" t="s">
        <v>49</v>
      </c>
      <c r="B239" s="109"/>
      <c r="C239" s="109"/>
      <c r="D239" s="109"/>
      <c r="E239" s="109"/>
      <c r="F239" s="109"/>
      <c r="G239" s="109"/>
      <c r="H239" s="109"/>
      <c r="I239" s="109"/>
      <c r="J239" s="109"/>
      <c r="K239" s="109"/>
    </row>
    <row r="240" spans="1:11" ht="36.75" customHeight="1">
      <c r="C240" s="4" t="s">
        <v>22</v>
      </c>
      <c r="E240" s="110" t="str">
        <f>IF($K$2,E5,"")</f>
        <v>(Insert project title here.  Sheet will auto-fill on subsequent years/composite)</v>
      </c>
      <c r="F240" s="110"/>
      <c r="G240" s="110"/>
      <c r="H240" s="110"/>
      <c r="I240" s="110"/>
      <c r="J240" s="110"/>
    </row>
    <row r="241" spans="2:10" ht="15.6">
      <c r="B241" s="4"/>
      <c r="C241" s="40" t="s">
        <v>21</v>
      </c>
      <c r="E241" s="52" t="str">
        <f>IF($K$2,E6,"")</f>
        <v>(Insert investigator(s) here.  Sheet will auto-fill on subsequent years/composite)</v>
      </c>
      <c r="F241" s="52"/>
      <c r="G241" s="52"/>
      <c r="H241" s="52"/>
      <c r="I241" s="52"/>
      <c r="J241" s="87"/>
    </row>
    <row r="243" spans="2:10" ht="13.8" thickBot="1"/>
    <row r="244" spans="2:10" ht="16.2" thickBot="1">
      <c r="B244" s="2"/>
      <c r="C244" s="2"/>
      <c r="D244" s="2"/>
      <c r="E244" s="2"/>
      <c r="F244" s="54" t="s">
        <v>23</v>
      </c>
      <c r="G244" s="54" t="s">
        <v>88</v>
      </c>
    </row>
    <row r="245" spans="2:10" ht="15.6">
      <c r="B245" s="48" t="s">
        <v>0</v>
      </c>
      <c r="C245" s="55" t="s">
        <v>74</v>
      </c>
      <c r="D245" s="49"/>
      <c r="E245" s="49"/>
      <c r="F245" s="73"/>
      <c r="G245" s="96"/>
    </row>
    <row r="246" spans="2:10" ht="15.6">
      <c r="B246" s="8"/>
      <c r="C246" s="9" t="s">
        <v>1</v>
      </c>
      <c r="D246" s="6" t="str">
        <f>IF(D11=""," ",D11)</f>
        <v xml:space="preserve"> </v>
      </c>
      <c r="E246" s="10"/>
      <c r="F246" s="64">
        <f t="shared" ref="F246:F251" si="21">F11+IF($K$2&gt;1,F58,0)+IF($K$2&gt;2,F105,0)+IF($K$2&gt;3,F152,0)+IF($K$2&gt;4,F199,0)</f>
        <v>0</v>
      </c>
      <c r="G246" s="64">
        <f t="shared" ref="G246" si="22">G11+IF($K$2&gt;1,G58,0)+IF($K$2&gt;2,G105,0)+IF($K$2&gt;3,G152,0)+IF($K$2&gt;4,G199,0)</f>
        <v>0</v>
      </c>
    </row>
    <row r="247" spans="2:10" ht="15.6">
      <c r="B247" s="8"/>
      <c r="C247" s="9" t="s">
        <v>2</v>
      </c>
      <c r="D247" s="6" t="str">
        <f>IF(D12=""," ",D12)</f>
        <v xml:space="preserve"> </v>
      </c>
      <c r="E247" s="10"/>
      <c r="F247" s="64">
        <f t="shared" si="21"/>
        <v>0</v>
      </c>
      <c r="G247" s="64">
        <f>G12+IF($K$2&gt;1,G59,0)+IF($K$2&gt;2,G106,0)+IF($K$2&gt;3,G153,0)+IF($K$2&gt;4,G200,0)</f>
        <v>0</v>
      </c>
    </row>
    <row r="248" spans="2:10" ht="15.6">
      <c r="B248" s="8"/>
      <c r="C248" s="9" t="s">
        <v>3</v>
      </c>
      <c r="D248" s="6" t="str">
        <f>IF(D13=""," ",D13)</f>
        <v xml:space="preserve"> </v>
      </c>
      <c r="E248" s="10"/>
      <c r="F248" s="64">
        <f t="shared" si="21"/>
        <v>0</v>
      </c>
      <c r="G248" s="64">
        <f>G13+IF($K$2&gt;1,G60,0)+IF($K$2&gt;2,G107,0)+IF($K$2&gt;3,G154,0)+IF($K$2&gt;4,G201,0)</f>
        <v>0</v>
      </c>
    </row>
    <row r="249" spans="2:10" ht="15.6">
      <c r="B249" s="8"/>
      <c r="C249" s="9" t="s">
        <v>4</v>
      </c>
      <c r="D249" s="6" t="str">
        <f>IF(D14=""," ",D14)</f>
        <v xml:space="preserve"> </v>
      </c>
      <c r="E249" s="10"/>
      <c r="F249" s="64">
        <f t="shared" si="21"/>
        <v>0</v>
      </c>
      <c r="G249" s="64">
        <f>G14+IF($K$2&gt;1,G61,0)+IF($K$2&gt;2,G108,0)+IF($K$2&gt;3,G155,0)+IF($K$2&gt;4,G202,0)</f>
        <v>0</v>
      </c>
    </row>
    <row r="250" spans="2:10" ht="15.6">
      <c r="B250" s="8"/>
      <c r="C250" s="9" t="s">
        <v>24</v>
      </c>
      <c r="D250" s="6" t="str">
        <f>IF(D15=""," ",D15)</f>
        <v xml:space="preserve"> </v>
      </c>
      <c r="E250" s="10"/>
      <c r="F250" s="64">
        <f t="shared" si="21"/>
        <v>0</v>
      </c>
      <c r="G250" s="64">
        <f>G15+IF($K$2&gt;1,G62,0)+IF($K$2&gt;2,G109,0)+IF($K$2&gt;3,G156,0)+IF($K$2&gt;4,G203,0)</f>
        <v>0</v>
      </c>
    </row>
    <row r="251" spans="2:10" ht="15.6">
      <c r="B251" s="8"/>
      <c r="C251" s="9" t="s">
        <v>25</v>
      </c>
      <c r="D251" s="6" t="s">
        <v>48</v>
      </c>
      <c r="E251" s="10"/>
      <c r="F251" s="64">
        <f t="shared" si="21"/>
        <v>0</v>
      </c>
      <c r="G251" s="64">
        <f>G16+IF($K$2&gt;1,G63,0)+IF($K$2&gt;2,G110,0)+IF($K$2&gt;3,G157,0)+IF($K$2&gt;4,G204,0)</f>
        <v>0</v>
      </c>
    </row>
    <row r="252" spans="2:10" ht="15.6">
      <c r="B252" s="8" t="s">
        <v>33</v>
      </c>
      <c r="C252" s="52" t="s">
        <v>75</v>
      </c>
      <c r="D252" s="6"/>
      <c r="E252" s="10"/>
      <c r="F252" s="97"/>
      <c r="G252" s="65"/>
    </row>
    <row r="253" spans="2:10" ht="15.6">
      <c r="B253" s="8"/>
      <c r="C253" s="61" t="s">
        <v>1</v>
      </c>
      <c r="D253" s="6" t="s">
        <v>30</v>
      </c>
      <c r="E253" s="10"/>
      <c r="F253" s="64">
        <f t="shared" ref="F253:G258" si="23">F18+IF($K$2&gt;1,F65,0)+IF($K$2&gt;2,F112,0)+IF($K$2&gt;3,F159,0)+IF($K$2&gt;4,F206,0)</f>
        <v>0</v>
      </c>
      <c r="G253" s="64">
        <f t="shared" si="23"/>
        <v>0</v>
      </c>
    </row>
    <row r="254" spans="2:10" ht="15.6">
      <c r="B254" s="8"/>
      <c r="C254" s="9" t="s">
        <v>2</v>
      </c>
      <c r="D254" s="6" t="s">
        <v>31</v>
      </c>
      <c r="E254" s="10"/>
      <c r="F254" s="64">
        <f t="shared" si="23"/>
        <v>0</v>
      </c>
      <c r="G254" s="64">
        <f t="shared" si="23"/>
        <v>0</v>
      </c>
    </row>
    <row r="255" spans="2:10" ht="15.6">
      <c r="B255" s="8"/>
      <c r="C255" s="9" t="s">
        <v>3</v>
      </c>
      <c r="D255" s="6" t="s">
        <v>26</v>
      </c>
      <c r="E255" s="5"/>
      <c r="F255" s="64">
        <f t="shared" si="23"/>
        <v>0</v>
      </c>
      <c r="G255" s="65">
        <f t="shared" si="23"/>
        <v>0</v>
      </c>
    </row>
    <row r="256" spans="2:10" ht="15.6">
      <c r="B256" s="8"/>
      <c r="C256" s="9" t="s">
        <v>4</v>
      </c>
      <c r="D256" s="6" t="s">
        <v>27</v>
      </c>
      <c r="E256" s="6"/>
      <c r="F256" s="64">
        <f t="shared" si="23"/>
        <v>0</v>
      </c>
      <c r="G256" s="64">
        <f t="shared" si="23"/>
        <v>0</v>
      </c>
    </row>
    <row r="257" spans="2:11" ht="15.6">
      <c r="B257" s="7"/>
      <c r="C257" s="53" t="s">
        <v>24</v>
      </c>
      <c r="D257" s="5" t="s">
        <v>82</v>
      </c>
      <c r="E257" s="5"/>
      <c r="F257" s="64">
        <f t="shared" si="23"/>
        <v>0</v>
      </c>
      <c r="G257" s="64">
        <f t="shared" si="23"/>
        <v>0</v>
      </c>
    </row>
    <row r="258" spans="2:11" ht="15.6">
      <c r="B258" s="8" t="s">
        <v>5</v>
      </c>
      <c r="C258" s="6" t="s">
        <v>37</v>
      </c>
      <c r="D258" s="6"/>
      <c r="E258" s="5"/>
      <c r="F258" s="64">
        <f t="shared" si="23"/>
        <v>0</v>
      </c>
      <c r="G258" s="64">
        <f t="shared" si="23"/>
        <v>0</v>
      </c>
    </row>
    <row r="259" spans="2:11" ht="15.6">
      <c r="B259" s="8" t="s">
        <v>6</v>
      </c>
      <c r="C259" s="6" t="s">
        <v>78</v>
      </c>
      <c r="D259" s="6"/>
      <c r="E259" s="47"/>
      <c r="F259" s="98"/>
      <c r="G259" s="63"/>
    </row>
    <row r="260" spans="2:11" ht="15.6">
      <c r="B260" s="8"/>
      <c r="C260" s="6" t="s">
        <v>87</v>
      </c>
      <c r="D260" s="6"/>
      <c r="E260" s="47"/>
      <c r="F260" s="64">
        <f t="shared" ref="F260:G267" si="24">F25+IF($K$2&gt;1,F72,0)+IF($K$2&gt;2,F119,0)+IF($K$2&gt;3,F166,0)+IF($K$2&gt;4,F213,0)</f>
        <v>0</v>
      </c>
      <c r="G260" s="64">
        <f t="shared" si="24"/>
        <v>0</v>
      </c>
    </row>
    <row r="261" spans="2:11" ht="15.6">
      <c r="B261" s="8"/>
      <c r="C261" s="6" t="s">
        <v>86</v>
      </c>
      <c r="D261" s="6"/>
      <c r="E261" s="57"/>
      <c r="F261" s="64">
        <f t="shared" si="24"/>
        <v>0</v>
      </c>
      <c r="G261" s="64">
        <f t="shared" si="24"/>
        <v>0</v>
      </c>
    </row>
    <row r="262" spans="2:11" ht="15.6">
      <c r="B262" s="8"/>
      <c r="C262" s="6" t="s">
        <v>105</v>
      </c>
      <c r="D262" s="6"/>
      <c r="E262" s="57"/>
      <c r="F262" s="64">
        <f t="shared" si="24"/>
        <v>0</v>
      </c>
      <c r="G262" s="64">
        <f t="shared" si="24"/>
        <v>0</v>
      </c>
    </row>
    <row r="263" spans="2:11" ht="15.6">
      <c r="B263" s="8" t="s">
        <v>7</v>
      </c>
      <c r="C263" s="6" t="s">
        <v>79</v>
      </c>
      <c r="D263" s="6"/>
      <c r="E263" s="57"/>
      <c r="F263" s="64">
        <f t="shared" si="24"/>
        <v>0</v>
      </c>
      <c r="G263" s="64">
        <f t="shared" si="24"/>
        <v>0</v>
      </c>
    </row>
    <row r="264" spans="2:11" ht="15.6">
      <c r="B264" s="8" t="s">
        <v>8</v>
      </c>
      <c r="C264" s="5" t="s">
        <v>38</v>
      </c>
      <c r="D264" s="6"/>
      <c r="E264" s="10"/>
      <c r="F264" s="64">
        <f t="shared" si="24"/>
        <v>0</v>
      </c>
      <c r="G264" s="64">
        <f t="shared" si="24"/>
        <v>0</v>
      </c>
    </row>
    <row r="265" spans="2:11" ht="15.6">
      <c r="B265" s="7" t="s">
        <v>9</v>
      </c>
      <c r="C265" s="5" t="s">
        <v>28</v>
      </c>
      <c r="D265" s="6"/>
      <c r="E265" s="12"/>
      <c r="F265" s="64">
        <f t="shared" si="24"/>
        <v>0</v>
      </c>
      <c r="G265" s="64">
        <f t="shared" si="24"/>
        <v>0</v>
      </c>
    </row>
    <row r="266" spans="2:11" ht="15.6">
      <c r="B266" s="13" t="s">
        <v>10</v>
      </c>
      <c r="C266" s="14" t="s">
        <v>19</v>
      </c>
      <c r="D266" s="2"/>
      <c r="E266" s="10"/>
      <c r="F266" s="64">
        <f t="shared" si="24"/>
        <v>0</v>
      </c>
      <c r="G266" s="64">
        <f t="shared" si="24"/>
        <v>0</v>
      </c>
    </row>
    <row r="267" spans="2:11" ht="15.6">
      <c r="B267" s="8" t="s">
        <v>11</v>
      </c>
      <c r="C267" s="15" t="s">
        <v>34</v>
      </c>
      <c r="D267" s="6"/>
      <c r="E267" s="10"/>
      <c r="F267" s="64">
        <f t="shared" si="24"/>
        <v>0</v>
      </c>
      <c r="G267" s="64">
        <f t="shared" si="24"/>
        <v>0</v>
      </c>
    </row>
    <row r="268" spans="2:11" ht="15.6">
      <c r="B268" s="8" t="s">
        <v>12</v>
      </c>
      <c r="C268" s="15" t="s">
        <v>35</v>
      </c>
      <c r="D268" s="6"/>
      <c r="E268" s="10"/>
      <c r="F268" s="97"/>
      <c r="G268" s="65"/>
      <c r="J268" s="36" t="s">
        <v>114</v>
      </c>
    </row>
    <row r="269" spans="2:11" ht="15.6">
      <c r="B269" s="21"/>
      <c r="C269" s="15" t="s">
        <v>39</v>
      </c>
      <c r="D269" s="6"/>
      <c r="E269" s="10"/>
      <c r="F269" s="64">
        <f t="shared" ref="F269:G276" si="25">F34+IF($K$2&gt;1,F81,0)+IF($K$2&gt;2,F128,0)+IF($K$2&gt;3,F175,0)+IF($K$2&gt;4,F222,0)</f>
        <v>0</v>
      </c>
      <c r="G269" s="64">
        <f t="shared" si="25"/>
        <v>0</v>
      </c>
      <c r="J269" s="36" t="s">
        <v>56</v>
      </c>
      <c r="K269" s="34" t="s">
        <v>115</v>
      </c>
    </row>
    <row r="270" spans="2:11" ht="15.6">
      <c r="B270" s="8"/>
      <c r="C270" s="15" t="s">
        <v>40</v>
      </c>
      <c r="D270" s="6"/>
      <c r="E270" s="10"/>
      <c r="F270" s="64">
        <f t="shared" si="25"/>
        <v>0</v>
      </c>
      <c r="G270" s="64">
        <f t="shared" si="25"/>
        <v>0</v>
      </c>
      <c r="J270" s="107" t="str">
        <f>J36</f>
        <v>Subcontract 1:</v>
      </c>
      <c r="K270" s="108">
        <f>SUM(K36,K81,K128,K171,K219)</f>
        <v>0</v>
      </c>
    </row>
    <row r="271" spans="2:11" ht="15.6">
      <c r="B271" s="8"/>
      <c r="C271" s="15" t="s">
        <v>77</v>
      </c>
      <c r="D271" s="6"/>
      <c r="E271" s="10"/>
      <c r="F271" s="64">
        <f t="shared" si="25"/>
        <v>0</v>
      </c>
      <c r="G271" s="64">
        <f t="shared" si="25"/>
        <v>0</v>
      </c>
      <c r="J271" s="107" t="str">
        <f t="shared" ref="J271:J273" si="26">J37</f>
        <v>Subcontract 2:</v>
      </c>
      <c r="K271" s="108">
        <f t="shared" ref="K271:K272" si="27">SUM(K37,K82,K129,K172,K220)</f>
        <v>0</v>
      </c>
    </row>
    <row r="272" spans="2:11" ht="15.6">
      <c r="B272" s="8" t="s">
        <v>13</v>
      </c>
      <c r="C272" s="15" t="s">
        <v>36</v>
      </c>
      <c r="D272" s="6"/>
      <c r="E272" s="10"/>
      <c r="F272" s="64">
        <f t="shared" si="25"/>
        <v>0</v>
      </c>
      <c r="G272" s="64">
        <f t="shared" si="25"/>
        <v>0</v>
      </c>
      <c r="J272" s="107" t="str">
        <f t="shared" si="26"/>
        <v>Subcontract 3:</v>
      </c>
      <c r="K272" s="108">
        <f t="shared" si="27"/>
        <v>0</v>
      </c>
    </row>
    <row r="273" spans="1:11" ht="15.6">
      <c r="B273" s="8" t="s">
        <v>14</v>
      </c>
      <c r="C273" s="6" t="s">
        <v>18</v>
      </c>
      <c r="D273" s="6"/>
      <c r="E273" s="10"/>
      <c r="F273" s="64">
        <f t="shared" si="25"/>
        <v>0</v>
      </c>
      <c r="G273" s="64">
        <f t="shared" si="25"/>
        <v>0</v>
      </c>
      <c r="J273" s="107" t="str">
        <f t="shared" si="26"/>
        <v>Subcontract 4:</v>
      </c>
      <c r="K273" s="108">
        <f>SUM(K39,K84,K131,K174,K222)</f>
        <v>0</v>
      </c>
    </row>
    <row r="274" spans="1:11" ht="15.6">
      <c r="B274" s="8" t="s">
        <v>15</v>
      </c>
      <c r="C274" s="6" t="s">
        <v>93</v>
      </c>
      <c r="D274" s="6"/>
      <c r="E274" s="10"/>
      <c r="F274" s="64">
        <f t="shared" si="25"/>
        <v>0</v>
      </c>
      <c r="G274" s="64">
        <f t="shared" si="25"/>
        <v>0</v>
      </c>
    </row>
    <row r="275" spans="1:11" ht="15.6">
      <c r="B275" s="8" t="s">
        <v>76</v>
      </c>
      <c r="C275" s="52" t="s">
        <v>108</v>
      </c>
      <c r="D275" s="62"/>
      <c r="E275" s="58"/>
      <c r="F275" s="64">
        <f t="shared" si="25"/>
        <v>0</v>
      </c>
      <c r="G275" s="65">
        <f t="shared" si="25"/>
        <v>0</v>
      </c>
    </row>
    <row r="276" spans="1:11" ht="15.6">
      <c r="B276" s="11" t="s">
        <v>80</v>
      </c>
      <c r="C276" s="2" t="s">
        <v>29</v>
      </c>
      <c r="D276" s="2"/>
      <c r="E276" s="16"/>
      <c r="F276" s="64">
        <f t="shared" si="25"/>
        <v>0</v>
      </c>
      <c r="G276" s="99">
        <f t="shared" si="25"/>
        <v>0</v>
      </c>
    </row>
    <row r="277" spans="1:11" ht="15.6">
      <c r="B277" s="8" t="s">
        <v>81</v>
      </c>
      <c r="C277" s="6" t="s">
        <v>41</v>
      </c>
      <c r="D277" s="6"/>
      <c r="E277" s="2"/>
      <c r="F277" s="97"/>
      <c r="G277" s="65"/>
    </row>
    <row r="278" spans="1:11" ht="15.6">
      <c r="B278" s="27" t="s">
        <v>42</v>
      </c>
      <c r="C278" s="22">
        <f>C43</f>
        <v>0.5</v>
      </c>
      <c r="D278" s="59" t="s">
        <v>43</v>
      </c>
      <c r="E278" s="23"/>
      <c r="F278" s="64">
        <f>F43+IF($K$2&gt;1,F90,0)+IF($K$2&gt;2,F137,0)+IF($K$2&gt;3,F184,0)+IF($K$2&gt;4,F231,0)</f>
        <v>0</v>
      </c>
      <c r="G278" s="100">
        <f>G43+IF($K$2&gt;1,G90,0)+IF($K$2&gt;2,G137,0)+IF($K$2&gt;3,G184,0)+IF($K$2&gt;4,G231,0)</f>
        <v>0</v>
      </c>
    </row>
    <row r="279" spans="1:11" ht="15.6">
      <c r="B279" s="27"/>
      <c r="C279" s="66"/>
      <c r="D279" s="67" t="s">
        <v>89</v>
      </c>
      <c r="E279" s="68"/>
      <c r="F279" s="65"/>
      <c r="G279" s="64">
        <f>G44+IF($K$2&gt;1,G91,0)+IF($K$2&gt;2,G138,0)+IF($K$2&gt;3,G185,0)+IF($K$2&gt;4,G232,0)</f>
        <v>0</v>
      </c>
    </row>
    <row r="280" spans="1:11" ht="16.2" thickBot="1">
      <c r="A280" s="51"/>
      <c r="B280" s="26" t="s">
        <v>94</v>
      </c>
      <c r="C280" s="17" t="s">
        <v>32</v>
      </c>
      <c r="D280" s="18"/>
      <c r="E280" s="19"/>
      <c r="F280" s="64">
        <f t="shared" ref="F280:G280" si="28">F45+IF($K$2&gt;1,F92,0)+IF($K$2&gt;2,F139,0)+IF($K$2&gt;3,F186,0)+IF($K$2&gt;4,F233,0)</f>
        <v>0</v>
      </c>
      <c r="G280" s="64">
        <f t="shared" si="28"/>
        <v>0</v>
      </c>
    </row>
    <row r="281" spans="1:11" ht="15.6">
      <c r="A281" s="51"/>
      <c r="B281" s="51"/>
      <c r="C281" s="20"/>
      <c r="D281" s="2"/>
      <c r="E281" s="2"/>
      <c r="F281" s="2"/>
      <c r="G281" s="2"/>
    </row>
  </sheetData>
  <dataConsolidate/>
  <mergeCells count="22">
    <mergeCell ref="A1:J1"/>
    <mergeCell ref="E5:J5"/>
    <mergeCell ref="A49:K49"/>
    <mergeCell ref="A50:K50"/>
    <mergeCell ref="A51:K51"/>
    <mergeCell ref="E52:J52"/>
    <mergeCell ref="A192:K192"/>
    <mergeCell ref="A191:K191"/>
    <mergeCell ref="A190:K190"/>
    <mergeCell ref="E99:J99"/>
    <mergeCell ref="A96:K96"/>
    <mergeCell ref="A97:K97"/>
    <mergeCell ref="A98:K98"/>
    <mergeCell ref="A143:K143"/>
    <mergeCell ref="A144:K144"/>
    <mergeCell ref="A145:K145"/>
    <mergeCell ref="A239:K239"/>
    <mergeCell ref="E240:J240"/>
    <mergeCell ref="E193:J193"/>
    <mergeCell ref="E146:J146"/>
    <mergeCell ref="A237:K237"/>
    <mergeCell ref="A238:K238"/>
  </mergeCells>
  <dataValidations count="3">
    <dataValidation type="list" allowBlank="1" showInputMessage="1" showErrorMessage="1" sqref="N23" xr:uid="{F629F204-5A8D-43C8-864A-5D9A7DD3AB11}">
      <formula1>Answers</formula1>
    </dataValidation>
    <dataValidation type="list" allowBlank="1" showInputMessage="1" showErrorMessage="1" sqref="J17" xr:uid="{3F28433D-EA2D-4ADF-A860-2610D1A22B8C}">
      <formula1>"Research On-Campus, Research State On-Campus, Public Service On-Campus, Public Service State On-Campus, Instruction On-Campus, Instruction State On-Campus, Off-Campus, Other"</formula1>
    </dataValidation>
    <dataValidation showInputMessage="1" showErrorMessage="1" sqref="L195 J57 J103 J150 J197" xr:uid="{AA903465-7186-4F35-9B16-2D3704FDAD13}"/>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J23" sqref="J23"/>
    </sheetView>
  </sheetViews>
  <sheetFormatPr defaultRowHeight="13.2"/>
  <cols>
    <col min="1" max="1" width="15.44140625" customWidth="1"/>
    <col min="2" max="2" width="9.33203125" customWidth="1"/>
    <col min="3" max="3" width="9.44140625" customWidth="1"/>
    <col min="4" max="5" width="10.44140625" customWidth="1"/>
  </cols>
  <sheetData>
    <row r="1" spans="1:6">
      <c r="B1" s="41"/>
      <c r="C1" s="41"/>
      <c r="D1" s="41"/>
      <c r="E1" s="41"/>
    </row>
    <row r="2" spans="1:6">
      <c r="A2" s="46">
        <v>42004</v>
      </c>
      <c r="B2" s="43"/>
      <c r="C2" s="43"/>
      <c r="D2" s="43"/>
      <c r="E2" s="43"/>
      <c r="F2" t="s">
        <v>109</v>
      </c>
    </row>
    <row r="3" spans="1:6">
      <c r="A3" s="46">
        <v>42035</v>
      </c>
      <c r="B3" s="43"/>
      <c r="C3" s="43"/>
      <c r="D3" s="43"/>
      <c r="E3" s="43"/>
      <c r="F3" t="s">
        <v>68</v>
      </c>
    </row>
    <row r="4" spans="1:6">
      <c r="A4" s="46">
        <v>42063</v>
      </c>
      <c r="B4" s="43"/>
      <c r="C4" s="43"/>
      <c r="D4" s="43"/>
      <c r="E4" s="43"/>
      <c r="F4" t="s">
        <v>110</v>
      </c>
    </row>
    <row r="5" spans="1:6">
      <c r="A5" s="46">
        <v>42094</v>
      </c>
      <c r="B5" s="43"/>
      <c r="C5" s="43"/>
      <c r="D5" s="43"/>
      <c r="E5" s="43"/>
      <c r="F5" t="s">
        <v>69</v>
      </c>
    </row>
    <row r="6" spans="1:6">
      <c r="A6" s="46">
        <v>42124</v>
      </c>
      <c r="B6" s="43"/>
      <c r="C6" s="43"/>
      <c r="D6" s="43"/>
      <c r="E6" s="43"/>
      <c r="F6" t="s">
        <v>111</v>
      </c>
    </row>
    <row r="7" spans="1:6">
      <c r="A7" s="46">
        <v>42155</v>
      </c>
      <c r="B7" s="43"/>
      <c r="C7" s="43"/>
      <c r="D7" s="43"/>
      <c r="E7" s="43"/>
      <c r="F7" t="s">
        <v>70</v>
      </c>
    </row>
    <row r="8" spans="1:6">
      <c r="A8" s="46">
        <v>42185</v>
      </c>
      <c r="B8" s="43"/>
      <c r="C8" s="43"/>
      <c r="D8" s="43"/>
      <c r="E8" s="43"/>
      <c r="F8" t="s">
        <v>112</v>
      </c>
    </row>
    <row r="9" spans="1:6">
      <c r="A9" s="46">
        <v>42216</v>
      </c>
      <c r="B9" s="43"/>
      <c r="C9" s="43"/>
      <c r="D9" s="43"/>
      <c r="E9" s="43"/>
      <c r="F9" t="s">
        <v>71</v>
      </c>
    </row>
    <row r="10" spans="1:6">
      <c r="A10" s="46">
        <v>42247</v>
      </c>
      <c r="B10" s="43"/>
      <c r="C10" s="43"/>
      <c r="D10" s="43"/>
      <c r="E10" s="43"/>
    </row>
    <row r="11" spans="1:6">
      <c r="A11" s="46">
        <v>42277</v>
      </c>
      <c r="B11" s="43"/>
      <c r="C11" s="43"/>
      <c r="D11" s="43"/>
      <c r="E11" s="43"/>
      <c r="F11" t="s">
        <v>90</v>
      </c>
    </row>
    <row r="12" spans="1:6">
      <c r="A12" s="46">
        <v>42308</v>
      </c>
      <c r="B12" s="43"/>
      <c r="C12" s="43"/>
      <c r="D12" s="43"/>
      <c r="E12" s="43"/>
      <c r="F12" t="s">
        <v>91</v>
      </c>
    </row>
    <row r="13" spans="1:6">
      <c r="A13" s="46">
        <v>42338</v>
      </c>
      <c r="B13" s="43"/>
      <c r="C13" s="43"/>
      <c r="D13" s="43"/>
      <c r="E13" s="43"/>
    </row>
    <row r="14" spans="1:6">
      <c r="A14" s="46">
        <v>42369</v>
      </c>
      <c r="B14" s="43"/>
      <c r="C14" s="43"/>
      <c r="D14" s="43"/>
      <c r="E14" s="43"/>
    </row>
    <row r="15" spans="1:6">
      <c r="A15" s="46">
        <v>42400</v>
      </c>
      <c r="B15" s="43"/>
      <c r="C15" s="43"/>
      <c r="D15" s="43"/>
      <c r="E15" s="43"/>
    </row>
    <row r="16" spans="1:6">
      <c r="A16" s="46">
        <v>42429</v>
      </c>
      <c r="B16" s="43"/>
      <c r="C16" s="43"/>
      <c r="D16" s="43"/>
      <c r="E16" s="43"/>
    </row>
    <row r="17" spans="1:5">
      <c r="A17" s="46">
        <v>42460</v>
      </c>
      <c r="B17" s="43"/>
      <c r="C17" s="43"/>
      <c r="D17" s="43"/>
      <c r="E17" s="43"/>
    </row>
    <row r="18" spans="1:5">
      <c r="A18" s="46">
        <v>42490</v>
      </c>
      <c r="B18" s="43"/>
      <c r="C18" s="43"/>
      <c r="D18" s="43"/>
      <c r="E18" s="43"/>
    </row>
    <row r="19" spans="1:5">
      <c r="A19" s="46">
        <v>42521</v>
      </c>
      <c r="B19" s="43"/>
      <c r="C19" s="43"/>
      <c r="D19" s="43"/>
      <c r="E19" s="43"/>
    </row>
    <row r="20" spans="1:5">
      <c r="A20" s="46">
        <v>42551</v>
      </c>
      <c r="B20" s="43"/>
      <c r="C20" s="43"/>
      <c r="D20" s="43"/>
      <c r="E20" s="43"/>
    </row>
    <row r="21" spans="1:5">
      <c r="A21" s="46">
        <v>42582</v>
      </c>
      <c r="B21" s="43"/>
      <c r="C21" s="43"/>
      <c r="D21" s="43"/>
      <c r="E21" s="43"/>
    </row>
    <row r="22" spans="1:5">
      <c r="A22" s="46">
        <v>42613</v>
      </c>
      <c r="B22" s="43"/>
      <c r="C22" s="43"/>
      <c r="D22" s="43"/>
      <c r="E22" s="43"/>
    </row>
    <row r="23" spans="1:5">
      <c r="A23" s="46">
        <v>42643</v>
      </c>
      <c r="B23" s="43"/>
      <c r="C23" s="43"/>
      <c r="D23" s="43"/>
      <c r="E23" s="43"/>
    </row>
    <row r="24" spans="1:5">
      <c r="A24" s="46">
        <v>42674</v>
      </c>
      <c r="B24" s="43"/>
      <c r="C24" s="43"/>
      <c r="D24" s="43"/>
      <c r="E24" s="43"/>
    </row>
    <row r="25" spans="1:5">
      <c r="A25" s="46">
        <v>42704</v>
      </c>
      <c r="B25" s="43"/>
      <c r="C25" s="43"/>
      <c r="D25" s="43"/>
      <c r="E25" s="43"/>
    </row>
    <row r="26" spans="1:5">
      <c r="A26" s="46">
        <v>42735</v>
      </c>
      <c r="B26" s="43"/>
      <c r="C26" s="43"/>
      <c r="D26" s="43"/>
      <c r="E26" s="43"/>
    </row>
    <row r="27" spans="1:5">
      <c r="A27" s="46">
        <v>42766</v>
      </c>
      <c r="B27" s="43"/>
      <c r="C27" s="43"/>
      <c r="D27" s="43"/>
      <c r="E27" s="43"/>
    </row>
    <row r="28" spans="1:5">
      <c r="A28" s="46">
        <v>42794</v>
      </c>
      <c r="B28" s="43"/>
      <c r="C28" s="43"/>
      <c r="D28" s="43"/>
      <c r="E28" s="43"/>
    </row>
    <row r="29" spans="1:5">
      <c r="A29" s="46">
        <v>42825</v>
      </c>
      <c r="B29" s="43"/>
      <c r="C29" s="43"/>
      <c r="D29" s="43"/>
      <c r="E29" s="43"/>
    </row>
    <row r="30" spans="1:5">
      <c r="A30" s="46">
        <v>42855</v>
      </c>
      <c r="B30" s="43"/>
      <c r="C30" s="43"/>
      <c r="D30" s="43"/>
      <c r="E30" s="43"/>
    </row>
    <row r="31" spans="1:5">
      <c r="A31" s="46">
        <v>42886</v>
      </c>
      <c r="B31" s="43"/>
      <c r="C31" s="43"/>
      <c r="D31" s="43"/>
      <c r="E31" s="43"/>
    </row>
    <row r="32" spans="1:5">
      <c r="A32" s="46">
        <v>42916</v>
      </c>
      <c r="B32" s="43"/>
      <c r="C32" s="43"/>
      <c r="D32" s="43"/>
      <c r="E32" s="43"/>
    </row>
    <row r="33" spans="1:5">
      <c r="A33" s="46">
        <v>42947</v>
      </c>
      <c r="B33" s="43"/>
      <c r="C33" s="43"/>
      <c r="D33" s="43"/>
      <c r="E33" s="43"/>
    </row>
    <row r="34" spans="1:5">
      <c r="A34" s="46">
        <v>42978</v>
      </c>
      <c r="B34" s="43"/>
      <c r="C34" s="43"/>
      <c r="D34" s="43"/>
      <c r="E34" s="43"/>
    </row>
    <row r="35" spans="1:5">
      <c r="A35" s="46">
        <v>43008</v>
      </c>
      <c r="B35" s="43"/>
      <c r="C35" s="43"/>
      <c r="D35" s="43"/>
      <c r="E35" s="43"/>
    </row>
    <row r="36" spans="1:5">
      <c r="A36" s="46">
        <v>43039</v>
      </c>
      <c r="B36" s="43"/>
      <c r="C36" s="43"/>
      <c r="D36" s="43"/>
      <c r="E36" s="43"/>
    </row>
    <row r="37" spans="1:5">
      <c r="A37" s="46">
        <v>43069</v>
      </c>
      <c r="B37" s="43"/>
      <c r="C37" s="43"/>
      <c r="D37" s="43"/>
      <c r="E37" s="43"/>
    </row>
    <row r="38" spans="1:5">
      <c r="A38" s="46">
        <v>43100</v>
      </c>
      <c r="B38" s="43"/>
      <c r="C38" s="43"/>
      <c r="D38" s="43"/>
      <c r="E38" s="43"/>
    </row>
    <row r="39" spans="1:5">
      <c r="A39" s="46">
        <v>43131</v>
      </c>
      <c r="B39" s="43"/>
      <c r="C39" s="43"/>
      <c r="D39" s="43"/>
      <c r="E39" s="43"/>
    </row>
    <row r="40" spans="1:5">
      <c r="A40" s="46">
        <v>43159</v>
      </c>
      <c r="B40" s="43"/>
      <c r="C40" s="43"/>
      <c r="D40" s="43"/>
      <c r="E40" s="43"/>
    </row>
    <row r="41" spans="1:5">
      <c r="A41" s="46">
        <v>43190</v>
      </c>
      <c r="B41" s="43"/>
      <c r="C41" s="43"/>
      <c r="D41" s="43"/>
      <c r="E41" s="43"/>
    </row>
    <row r="42" spans="1:5">
      <c r="A42" s="46">
        <v>43220</v>
      </c>
      <c r="B42" s="43"/>
      <c r="C42" s="43"/>
      <c r="D42" s="43"/>
      <c r="E42" s="43"/>
    </row>
    <row r="43" spans="1:5">
      <c r="A43" s="46">
        <v>43251</v>
      </c>
      <c r="B43" s="43"/>
      <c r="C43" s="43"/>
      <c r="D43" s="43"/>
      <c r="E43" s="43"/>
    </row>
    <row r="44" spans="1:5">
      <c r="A44" s="46">
        <f>A43+31</f>
        <v>43282</v>
      </c>
      <c r="B44" s="43"/>
      <c r="C44" s="43"/>
      <c r="D44" s="43"/>
      <c r="E44" s="43"/>
    </row>
    <row r="45" spans="1:5">
      <c r="A45" s="46">
        <f t="shared" ref="A45:A102" si="0">A44+31</f>
        <v>43313</v>
      </c>
      <c r="B45" s="43"/>
      <c r="C45" s="43"/>
      <c r="D45" s="43"/>
      <c r="E45" s="43"/>
    </row>
    <row r="46" spans="1:5">
      <c r="A46" s="46">
        <f t="shared" si="0"/>
        <v>43344</v>
      </c>
      <c r="B46" s="43"/>
      <c r="C46" s="43"/>
      <c r="D46" s="43"/>
      <c r="E46" s="43"/>
    </row>
    <row r="47" spans="1:5">
      <c r="A47" s="46">
        <f t="shared" si="0"/>
        <v>43375</v>
      </c>
      <c r="B47" s="43"/>
      <c r="C47" s="43"/>
      <c r="D47" s="43"/>
      <c r="E47" s="43"/>
    </row>
    <row r="48" spans="1:5">
      <c r="A48" s="46">
        <f t="shared" si="0"/>
        <v>43406</v>
      </c>
      <c r="B48" s="43"/>
      <c r="C48" s="43"/>
      <c r="D48" s="43"/>
      <c r="E48" s="43"/>
    </row>
    <row r="49" spans="1:5">
      <c r="A49" s="46">
        <f t="shared" si="0"/>
        <v>43437</v>
      </c>
      <c r="B49" s="43"/>
      <c r="C49" s="43"/>
      <c r="D49" s="43"/>
      <c r="E49" s="43"/>
    </row>
    <row r="50" spans="1:5">
      <c r="A50" s="46">
        <f t="shared" si="0"/>
        <v>43468</v>
      </c>
      <c r="B50" s="43"/>
      <c r="C50" s="43"/>
      <c r="D50" s="43"/>
      <c r="E50" s="43"/>
    </row>
    <row r="51" spans="1:5">
      <c r="A51" s="46">
        <f t="shared" si="0"/>
        <v>43499</v>
      </c>
      <c r="B51" s="43"/>
      <c r="C51" s="43"/>
      <c r="D51" s="43"/>
      <c r="E51" s="43"/>
    </row>
    <row r="52" spans="1:5">
      <c r="A52" s="46">
        <f t="shared" si="0"/>
        <v>43530</v>
      </c>
      <c r="B52" s="43"/>
      <c r="C52" s="43"/>
      <c r="D52" s="43"/>
      <c r="E52" s="43"/>
    </row>
    <row r="53" spans="1:5">
      <c r="A53" s="46">
        <f t="shared" si="0"/>
        <v>43561</v>
      </c>
      <c r="B53" s="43"/>
      <c r="C53" s="43"/>
      <c r="D53" s="43"/>
      <c r="E53" s="43"/>
    </row>
    <row r="54" spans="1:5">
      <c r="A54" s="46">
        <f t="shared" si="0"/>
        <v>43592</v>
      </c>
      <c r="B54" s="43"/>
      <c r="C54" s="43"/>
      <c r="D54" s="43"/>
      <c r="E54" s="43"/>
    </row>
    <row r="55" spans="1:5">
      <c r="A55" s="46">
        <f t="shared" si="0"/>
        <v>43623</v>
      </c>
      <c r="B55" s="43"/>
      <c r="C55" s="43"/>
      <c r="D55" s="43"/>
      <c r="E55" s="43"/>
    </row>
    <row r="56" spans="1:5">
      <c r="A56" s="46">
        <f t="shared" si="0"/>
        <v>43654</v>
      </c>
      <c r="B56" s="43"/>
      <c r="C56" s="43"/>
      <c r="D56" s="43"/>
      <c r="E56" s="43"/>
    </row>
    <row r="57" spans="1:5">
      <c r="A57" s="46">
        <f t="shared" si="0"/>
        <v>43685</v>
      </c>
      <c r="B57" s="43"/>
      <c r="C57" s="43"/>
      <c r="D57" s="43"/>
      <c r="E57" s="43"/>
    </row>
    <row r="58" spans="1:5">
      <c r="A58" s="46">
        <f t="shared" si="0"/>
        <v>43716</v>
      </c>
      <c r="B58" s="43"/>
      <c r="C58" s="43"/>
      <c r="D58" s="43"/>
      <c r="E58" s="43"/>
    </row>
    <row r="59" spans="1:5">
      <c r="A59" s="46">
        <f t="shared" si="0"/>
        <v>43747</v>
      </c>
      <c r="B59" s="43"/>
      <c r="C59" s="43"/>
      <c r="D59" s="43"/>
      <c r="E59" s="43"/>
    </row>
    <row r="60" spans="1:5">
      <c r="A60" s="46">
        <f t="shared" si="0"/>
        <v>43778</v>
      </c>
      <c r="B60" s="43"/>
      <c r="C60" s="43"/>
      <c r="D60" s="43"/>
      <c r="E60" s="43"/>
    </row>
    <row r="61" spans="1:5">
      <c r="A61" s="46">
        <f t="shared" si="0"/>
        <v>43809</v>
      </c>
      <c r="B61" s="43"/>
      <c r="C61" s="43"/>
      <c r="D61" s="43"/>
      <c r="E61" s="43"/>
    </row>
    <row r="62" spans="1:5">
      <c r="A62" s="46">
        <f t="shared" si="0"/>
        <v>43840</v>
      </c>
      <c r="B62" s="43"/>
      <c r="C62" s="43"/>
      <c r="D62" s="43"/>
      <c r="E62" s="43"/>
    </row>
    <row r="63" spans="1:5">
      <c r="A63" s="46">
        <f t="shared" si="0"/>
        <v>43871</v>
      </c>
      <c r="B63" s="43"/>
      <c r="C63" s="43"/>
      <c r="D63" s="43"/>
      <c r="E63" s="43"/>
    </row>
    <row r="64" spans="1:5">
      <c r="A64" s="46">
        <f t="shared" si="0"/>
        <v>43902</v>
      </c>
      <c r="B64" s="43"/>
      <c r="C64" s="43"/>
      <c r="D64" s="43"/>
      <c r="E64" s="43"/>
    </row>
    <row r="65" spans="1:5">
      <c r="A65" s="46">
        <f t="shared" si="0"/>
        <v>43933</v>
      </c>
      <c r="B65" s="43"/>
      <c r="C65" s="43"/>
      <c r="D65" s="43"/>
      <c r="E65" s="43"/>
    </row>
    <row r="66" spans="1:5">
      <c r="A66" s="46">
        <f t="shared" si="0"/>
        <v>43964</v>
      </c>
      <c r="B66" s="43"/>
      <c r="C66" s="43"/>
      <c r="D66" s="43"/>
      <c r="E66" s="43"/>
    </row>
    <row r="67" spans="1:5">
      <c r="A67" s="46">
        <f t="shared" si="0"/>
        <v>43995</v>
      </c>
      <c r="B67" s="43"/>
      <c r="C67" s="43"/>
      <c r="D67" s="43"/>
      <c r="E67" s="43"/>
    </row>
    <row r="68" spans="1:5">
      <c r="A68" s="46">
        <f t="shared" si="0"/>
        <v>44026</v>
      </c>
      <c r="B68" s="43"/>
      <c r="C68" s="43"/>
      <c r="D68" s="43"/>
      <c r="E68" s="43"/>
    </row>
    <row r="69" spans="1:5">
      <c r="A69" s="46">
        <f t="shared" si="0"/>
        <v>44057</v>
      </c>
      <c r="B69" s="43"/>
      <c r="C69" s="43"/>
      <c r="D69" s="43"/>
      <c r="E69" s="43"/>
    </row>
    <row r="70" spans="1:5">
      <c r="A70" s="46">
        <f t="shared" si="0"/>
        <v>44088</v>
      </c>
      <c r="B70" s="43"/>
      <c r="C70" s="43"/>
      <c r="D70" s="43"/>
      <c r="E70" s="43"/>
    </row>
    <row r="71" spans="1:5">
      <c r="A71" s="46">
        <f t="shared" si="0"/>
        <v>44119</v>
      </c>
      <c r="B71" s="43"/>
      <c r="C71" s="43"/>
      <c r="D71" s="43"/>
      <c r="E71" s="43"/>
    </row>
    <row r="72" spans="1:5">
      <c r="A72" s="46">
        <f t="shared" si="0"/>
        <v>44150</v>
      </c>
      <c r="B72" s="43"/>
      <c r="C72" s="43"/>
      <c r="D72" s="43"/>
      <c r="E72" s="43"/>
    </row>
    <row r="73" spans="1:5">
      <c r="A73" s="46">
        <f t="shared" si="0"/>
        <v>44181</v>
      </c>
      <c r="B73" s="43"/>
      <c r="C73" s="43"/>
      <c r="D73" s="43"/>
      <c r="E73" s="43"/>
    </row>
    <row r="74" spans="1:5">
      <c r="A74" s="46">
        <f t="shared" si="0"/>
        <v>44212</v>
      </c>
      <c r="B74" s="43"/>
      <c r="C74" s="43"/>
      <c r="D74" s="43"/>
      <c r="E74" s="43"/>
    </row>
    <row r="75" spans="1:5">
      <c r="A75" s="46">
        <f t="shared" si="0"/>
        <v>44243</v>
      </c>
      <c r="B75" s="43"/>
      <c r="C75" s="43"/>
      <c r="D75" s="43"/>
      <c r="E75" s="43"/>
    </row>
    <row r="76" spans="1:5">
      <c r="A76" s="46">
        <f t="shared" si="0"/>
        <v>44274</v>
      </c>
      <c r="B76" s="43"/>
      <c r="C76" s="43"/>
      <c r="D76" s="43"/>
      <c r="E76" s="43"/>
    </row>
    <row r="77" spans="1:5">
      <c r="A77" s="46">
        <f t="shared" si="0"/>
        <v>44305</v>
      </c>
      <c r="B77" s="43"/>
      <c r="C77" s="43"/>
      <c r="D77" s="43"/>
      <c r="E77" s="43"/>
    </row>
    <row r="78" spans="1:5">
      <c r="A78" s="46">
        <f t="shared" si="0"/>
        <v>44336</v>
      </c>
      <c r="B78" s="43"/>
      <c r="C78" s="43"/>
      <c r="D78" s="43"/>
      <c r="E78" s="43"/>
    </row>
    <row r="79" spans="1:5">
      <c r="A79" s="46">
        <f t="shared" si="0"/>
        <v>44367</v>
      </c>
      <c r="B79" s="43"/>
      <c r="C79" s="43"/>
      <c r="D79" s="43"/>
      <c r="E79" s="43"/>
    </row>
    <row r="80" spans="1:5">
      <c r="A80" s="46">
        <f t="shared" si="0"/>
        <v>44398</v>
      </c>
      <c r="B80" s="43"/>
      <c r="C80" s="43"/>
      <c r="D80" s="43"/>
      <c r="E80" s="43"/>
    </row>
    <row r="81" spans="1:5">
      <c r="A81" s="46">
        <f t="shared" si="0"/>
        <v>44429</v>
      </c>
      <c r="B81" s="43"/>
      <c r="C81" s="43"/>
      <c r="D81" s="43"/>
      <c r="E81" s="43"/>
    </row>
    <row r="82" spans="1:5">
      <c r="A82" s="46">
        <f t="shared" si="0"/>
        <v>44460</v>
      </c>
      <c r="B82" s="43"/>
      <c r="C82" s="43"/>
      <c r="D82" s="43"/>
      <c r="E82" s="43"/>
    </row>
    <row r="83" spans="1:5">
      <c r="A83" s="46">
        <f t="shared" si="0"/>
        <v>44491</v>
      </c>
      <c r="B83" s="43"/>
      <c r="C83" s="43"/>
      <c r="D83" s="43"/>
      <c r="E83" s="43"/>
    </row>
    <row r="84" spans="1:5">
      <c r="A84" s="46">
        <f t="shared" si="0"/>
        <v>44522</v>
      </c>
      <c r="B84" s="43"/>
      <c r="C84" s="43"/>
      <c r="D84" s="43"/>
      <c r="E84" s="43"/>
    </row>
    <row r="85" spans="1:5">
      <c r="A85" s="46">
        <f t="shared" si="0"/>
        <v>44553</v>
      </c>
      <c r="B85" s="43"/>
      <c r="C85" s="43"/>
      <c r="D85" s="43"/>
      <c r="E85" s="43"/>
    </row>
    <row r="86" spans="1:5">
      <c r="A86" s="46">
        <f t="shared" si="0"/>
        <v>44584</v>
      </c>
      <c r="B86" s="43"/>
      <c r="C86" s="43"/>
      <c r="D86" s="43"/>
      <c r="E86" s="43"/>
    </row>
    <row r="87" spans="1:5">
      <c r="A87" s="46">
        <f t="shared" si="0"/>
        <v>44615</v>
      </c>
      <c r="B87" s="43"/>
      <c r="C87" s="43"/>
      <c r="D87" s="43"/>
      <c r="E87" s="43"/>
    </row>
    <row r="88" spans="1:5">
      <c r="A88" s="46">
        <f t="shared" si="0"/>
        <v>44646</v>
      </c>
      <c r="B88" s="43"/>
      <c r="C88" s="43"/>
      <c r="D88" s="43"/>
      <c r="E88" s="43"/>
    </row>
    <row r="89" spans="1:5">
      <c r="A89" s="46">
        <f t="shared" si="0"/>
        <v>44677</v>
      </c>
      <c r="B89" s="43"/>
      <c r="C89" s="43"/>
      <c r="D89" s="43"/>
      <c r="E89" s="43"/>
    </row>
    <row r="90" spans="1:5">
      <c r="A90" s="46">
        <f t="shared" si="0"/>
        <v>44708</v>
      </c>
      <c r="B90" s="43"/>
      <c r="C90" s="43"/>
      <c r="D90" s="43"/>
      <c r="E90" s="43"/>
    </row>
    <row r="91" spans="1:5">
      <c r="A91" s="46">
        <f t="shared" si="0"/>
        <v>44739</v>
      </c>
      <c r="B91" s="43"/>
      <c r="C91" s="43"/>
      <c r="D91" s="43"/>
      <c r="E91" s="43"/>
    </row>
    <row r="92" spans="1:5">
      <c r="A92" s="46">
        <f t="shared" si="0"/>
        <v>44770</v>
      </c>
      <c r="B92" s="43"/>
      <c r="C92" s="43"/>
      <c r="D92" s="43"/>
      <c r="E92" s="43"/>
    </row>
    <row r="93" spans="1:5">
      <c r="A93" s="46">
        <f t="shared" si="0"/>
        <v>44801</v>
      </c>
      <c r="B93" s="43"/>
      <c r="C93" s="43"/>
      <c r="D93" s="43"/>
      <c r="E93" s="43"/>
    </row>
    <row r="94" spans="1:5">
      <c r="A94" s="46">
        <f t="shared" si="0"/>
        <v>44832</v>
      </c>
      <c r="B94" s="43"/>
      <c r="C94" s="43"/>
      <c r="D94" s="43"/>
      <c r="E94" s="43"/>
    </row>
    <row r="95" spans="1:5">
      <c r="A95" s="46">
        <f t="shared" si="0"/>
        <v>44863</v>
      </c>
      <c r="B95" s="43"/>
      <c r="C95" s="43"/>
      <c r="D95" s="43"/>
      <c r="E95" s="43"/>
    </row>
    <row r="96" spans="1:5">
      <c r="A96" s="46">
        <f t="shared" si="0"/>
        <v>44894</v>
      </c>
      <c r="B96" s="43"/>
      <c r="C96" s="43"/>
      <c r="D96" s="43"/>
      <c r="E96" s="43"/>
    </row>
    <row r="97" spans="1:5">
      <c r="A97" s="46">
        <f t="shared" si="0"/>
        <v>44925</v>
      </c>
      <c r="B97" s="43"/>
      <c r="C97" s="43"/>
      <c r="D97" s="43"/>
      <c r="E97" s="43"/>
    </row>
    <row r="98" spans="1:5">
      <c r="A98" s="46">
        <f t="shared" si="0"/>
        <v>44956</v>
      </c>
      <c r="B98" s="43"/>
      <c r="C98" s="43"/>
      <c r="D98" s="43"/>
      <c r="E98" s="43"/>
    </row>
    <row r="99" spans="1:5">
      <c r="A99" s="46">
        <f t="shared" si="0"/>
        <v>44987</v>
      </c>
      <c r="B99" s="43"/>
      <c r="C99" s="43"/>
      <c r="D99" s="43"/>
      <c r="E99" s="43"/>
    </row>
    <row r="100" spans="1:5">
      <c r="A100" s="46">
        <f t="shared" si="0"/>
        <v>45018</v>
      </c>
      <c r="B100" s="43"/>
      <c r="C100" s="43"/>
      <c r="D100" s="43"/>
      <c r="E100" s="43"/>
    </row>
    <row r="101" spans="1:5">
      <c r="A101" s="46">
        <f t="shared" si="0"/>
        <v>45049</v>
      </c>
      <c r="B101" s="43"/>
      <c r="C101" s="43"/>
      <c r="D101" s="43"/>
      <c r="E101" s="43"/>
    </row>
    <row r="102" spans="1:5">
      <c r="A102" s="46">
        <f t="shared" si="0"/>
        <v>45080</v>
      </c>
      <c r="B102" s="43"/>
      <c r="C102" s="43"/>
      <c r="D102" s="43"/>
      <c r="E102" s="43"/>
    </row>
    <row r="103" spans="1:5">
      <c r="A103" s="46"/>
    </row>
    <row r="104" spans="1:5">
      <c r="A104" s="46"/>
    </row>
    <row r="105" spans="1:5">
      <c r="A105" s="46"/>
    </row>
    <row r="106" spans="1:5">
      <c r="A106" s="46"/>
    </row>
    <row r="107" spans="1:5">
      <c r="A107" s="46"/>
    </row>
    <row r="108" spans="1:5">
      <c r="A108" s="46"/>
    </row>
    <row r="109" spans="1:5">
      <c r="A109" s="46"/>
    </row>
    <row r="110" spans="1:5">
      <c r="A110" s="46"/>
    </row>
    <row r="111" spans="1:5">
      <c r="A111" s="46"/>
    </row>
    <row r="112" spans="1:5">
      <c r="A112" s="46"/>
    </row>
    <row r="113" spans="1:1">
      <c r="A113" s="46"/>
    </row>
    <row r="114" spans="1:1">
      <c r="A114" s="46"/>
    </row>
    <row r="115" spans="1:1">
      <c r="A115" s="46"/>
    </row>
    <row r="116" spans="1:1">
      <c r="A116" s="46"/>
    </row>
    <row r="117" spans="1:1">
      <c r="A117" s="46"/>
    </row>
    <row r="134" spans="11:11">
      <c r="K134" s="42"/>
    </row>
    <row r="135" spans="11:11">
      <c r="K135" s="42"/>
    </row>
    <row r="136" spans="11:11">
      <c r="K136" s="42"/>
    </row>
    <row r="137" spans="11:11">
      <c r="K137" s="42"/>
    </row>
    <row r="138" spans="11:11">
      <c r="K138" s="42"/>
    </row>
    <row r="139" spans="11:11">
      <c r="K139" s="42"/>
    </row>
    <row r="140" spans="11:11">
      <c r="K140" s="42"/>
    </row>
    <row r="141" spans="11:11">
      <c r="K141" s="42"/>
    </row>
    <row r="142" spans="11:11">
      <c r="K142" s="42"/>
    </row>
    <row r="143" spans="11:11">
      <c r="K143" s="42"/>
    </row>
    <row r="144" spans="11:11">
      <c r="K144" s="42"/>
    </row>
    <row r="145" spans="11:11">
      <c r="K145" s="42"/>
    </row>
    <row r="146" spans="11:11">
      <c r="K146" s="42"/>
    </row>
    <row r="147" spans="11:11">
      <c r="K147" s="42"/>
    </row>
    <row r="148" spans="11:11">
      <c r="K148" s="42"/>
    </row>
    <row r="149" spans="11:11">
      <c r="K149" s="42"/>
    </row>
    <row r="150" spans="11:11">
      <c r="K150" s="42"/>
    </row>
    <row r="151" spans="11:11">
      <c r="K151" s="42"/>
    </row>
    <row r="152" spans="11:11">
      <c r="K152" s="42"/>
    </row>
    <row r="153" spans="11:11">
      <c r="K153" s="42"/>
    </row>
    <row r="154" spans="11:11">
      <c r="K154" s="42"/>
    </row>
    <row r="155" spans="11:11">
      <c r="K155" s="42"/>
    </row>
    <row r="156" spans="11:11">
      <c r="K156" s="42"/>
    </row>
    <row r="157" spans="11:11">
      <c r="K157" s="42"/>
    </row>
    <row r="158" spans="11:11">
      <c r="K158" s="4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Generic 5yr Budget</vt:lpstr>
      <vt:lpstr>Look up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2014-12-23T17:44:49Z</cp:lastPrinted>
  <dcterms:created xsi:type="dcterms:W3CDTF">1999-02-04T15:36:47Z</dcterms:created>
  <dcterms:modified xsi:type="dcterms:W3CDTF">2025-03-06T16:49:58Z</dcterms:modified>
</cp:coreProperties>
</file>